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Dropbox\teaching db\FIN 450 Fin AI\Lectures\T10 Sim\"/>
    </mc:Choice>
  </mc:AlternateContent>
  <xr:revisionPtr revIDLastSave="0" documentId="13_ncr:1_{8E54AE6B-DF99-47AB-8765-D5FA0EF34FF2}" xr6:coauthVersionLast="47" xr6:coauthVersionMax="47" xr10:uidLastSave="{00000000-0000-0000-0000-000000000000}"/>
  <bookViews>
    <workbookView xWindow="-120" yWindow="480" windowWidth="29040" windowHeight="15120" tabRatio="500" xr2:uid="{00000000-000D-0000-FFFF-FFFF00000000}"/>
  </bookViews>
  <sheets>
    <sheet name="Dashboard" sheetId="1" r:id="rId1"/>
    <sheet name="Assumptions" sheetId="2" r:id="rId2"/>
    <sheet name="Base Case" sheetId="3" r:id="rId3"/>
    <sheet name="Scenario_InvDown" sheetId="4" r:id="rId4"/>
    <sheet name="Scenario_InvUp" sheetId="5" r:id="rId5"/>
    <sheet name="Scenario_RevGrDown" sheetId="6" r:id="rId6"/>
    <sheet name="Scenario_RevGrUp" sheetId="7" r:id="rId7"/>
    <sheet name="Scenario_MarginDown" sheetId="8" r:id="rId8"/>
    <sheet name="Scenario_MarginUp" sheetId="9" r:id="rId9"/>
    <sheet name="Scenario_WACCDown" sheetId="10" r:id="rId10"/>
    <sheet name="Scenario_WACCUp" sheetId="11" r:id="rId11"/>
    <sheet name="Scenario_TermGrDown" sheetId="12" r:id="rId12"/>
    <sheet name="Scenario_TermGrUp" sheetId="13" r:id="rId13"/>
    <sheet name="Sensitivity Summary" sheetId="14" r:id="rId14"/>
    <sheet name="Tornado Chart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14" l="1"/>
  <c r="F6" i="14"/>
  <c r="J5" i="14"/>
  <c r="F5" i="14"/>
  <c r="B3" i="13"/>
  <c r="B3" i="12"/>
  <c r="B3" i="11"/>
  <c r="B3" i="10"/>
  <c r="B5" i="9"/>
  <c r="C5" i="8"/>
  <c r="B5" i="8"/>
  <c r="C6" i="7"/>
  <c r="B6" i="7"/>
  <c r="C5" i="7"/>
  <c r="D5" i="7" s="1"/>
  <c r="B6" i="6"/>
  <c r="C5" i="6"/>
  <c r="C6" i="6" s="1"/>
  <c r="B5" i="5"/>
  <c r="B5" i="4"/>
  <c r="B11" i="3"/>
  <c r="B18" i="3" s="1"/>
  <c r="C7" i="3"/>
  <c r="B5" i="3"/>
  <c r="E7" i="1"/>
  <c r="E6" i="1"/>
  <c r="E5" i="1"/>
  <c r="B9" i="4" l="1"/>
  <c r="F4" i="14" s="1"/>
  <c r="B8" i="12"/>
  <c r="F8" i="14" s="1"/>
  <c r="B7" i="10"/>
  <c r="F7" i="14" s="1"/>
  <c r="B9" i="5"/>
  <c r="J4" i="14" s="1"/>
  <c r="B7" i="11"/>
  <c r="J7" i="14" s="1"/>
  <c r="B7" i="1"/>
  <c r="B8" i="13"/>
  <c r="J8" i="14" s="1"/>
  <c r="E5" i="7"/>
  <c r="D6" i="7"/>
  <c r="B12" i="13"/>
  <c r="D5" i="6"/>
  <c r="B12" i="12"/>
  <c r="C8" i="3"/>
  <c r="C9" i="3" s="1"/>
  <c r="C11" i="3" s="1"/>
  <c r="C5" i="9"/>
  <c r="D7" i="3"/>
  <c r="C5" i="5" l="1"/>
  <c r="C12" i="12"/>
  <c r="C5" i="4"/>
  <c r="C12" i="13"/>
  <c r="F5" i="7"/>
  <c r="E6" i="7"/>
  <c r="D6" i="6"/>
  <c r="E5" i="6"/>
  <c r="D5" i="9"/>
  <c r="D8" i="3"/>
  <c r="E7" i="3"/>
  <c r="D5" i="8"/>
  <c r="D9" i="3"/>
  <c r="D11" i="3" s="1"/>
  <c r="D12" i="12" l="1"/>
  <c r="D5" i="4"/>
  <c r="D12" i="13"/>
  <c r="D5" i="5"/>
  <c r="E6" i="6"/>
  <c r="F5" i="6"/>
  <c r="G5" i="7"/>
  <c r="G6" i="7" s="1"/>
  <c r="F6" i="7"/>
  <c r="B8" i="7" s="1"/>
  <c r="H5" i="14" s="1"/>
  <c r="E5" i="9"/>
  <c r="E8" i="3"/>
  <c r="F7" i="3"/>
  <c r="E5" i="8"/>
  <c r="E9" i="3"/>
  <c r="E11" i="3" s="1"/>
  <c r="F5" i="9" l="1"/>
  <c r="F8" i="3"/>
  <c r="F9" i="3" s="1"/>
  <c r="F11" i="3" s="1"/>
  <c r="G7" i="3"/>
  <c r="F5" i="8"/>
  <c r="E5" i="4"/>
  <c r="E12" i="12"/>
  <c r="E5" i="5"/>
  <c r="E12" i="13"/>
  <c r="D6" i="15"/>
  <c r="B9" i="7"/>
  <c r="I5" i="14" s="1"/>
  <c r="G5" i="6"/>
  <c r="G6" i="6" s="1"/>
  <c r="F6" i="6"/>
  <c r="F12" i="12" l="1"/>
  <c r="F5" i="4"/>
  <c r="F12" i="13"/>
  <c r="F5" i="5"/>
  <c r="G5" i="9"/>
  <c r="G8" i="3"/>
  <c r="G5" i="8"/>
  <c r="G9" i="3"/>
  <c r="G11" i="3" s="1"/>
  <c r="B8" i="6"/>
  <c r="D5" i="14" s="1"/>
  <c r="B9" i="6"/>
  <c r="E5" i="14" s="1"/>
  <c r="B7" i="8" l="1"/>
  <c r="D6" i="14" s="1"/>
  <c r="B5" i="15" s="1"/>
  <c r="B8" i="8"/>
  <c r="E6" i="14" s="1"/>
  <c r="B5" i="13"/>
  <c r="B6" i="13" s="1"/>
  <c r="H8" i="14" s="1"/>
  <c r="G5" i="4"/>
  <c r="B6" i="12"/>
  <c r="D8" i="14" s="1"/>
  <c r="B4" i="15" s="1"/>
  <c r="B5" i="12"/>
  <c r="G12" i="12" s="1"/>
  <c r="B7" i="12" s="1"/>
  <c r="E8" i="14" s="1"/>
  <c r="G5" i="5"/>
  <c r="G12" i="13"/>
  <c r="B5" i="11"/>
  <c r="H7" i="14" s="1"/>
  <c r="B5" i="10"/>
  <c r="D7" i="14" s="1"/>
  <c r="B7" i="15" s="1"/>
  <c r="B17" i="3"/>
  <c r="B6" i="15"/>
  <c r="E6" i="15" s="1"/>
  <c r="F7" i="1" s="1"/>
  <c r="K5" i="14"/>
  <c r="B8" i="9"/>
  <c r="I6" i="14" s="1"/>
  <c r="B7" i="9"/>
  <c r="H6" i="14" s="1"/>
  <c r="B16" i="3"/>
  <c r="B7" i="13"/>
  <c r="I8" i="14" s="1"/>
  <c r="D4" i="15" l="1"/>
  <c r="E4" i="15" s="1"/>
  <c r="F5" i="1" s="1"/>
  <c r="K8" i="14"/>
  <c r="B5" i="14"/>
  <c r="B9" i="1"/>
  <c r="C5" i="15"/>
  <c r="C8" i="15"/>
  <c r="B8" i="14"/>
  <c r="C7" i="15"/>
  <c r="C6" i="15"/>
  <c r="B4" i="14"/>
  <c r="B7" i="14"/>
  <c r="B6" i="14"/>
  <c r="B5" i="1"/>
  <c r="C4" i="15"/>
  <c r="K6" i="14"/>
  <c r="D5" i="15"/>
  <c r="E5" i="15" s="1"/>
  <c r="F6" i="1" s="1"/>
  <c r="B6" i="1"/>
  <c r="B6" i="10"/>
  <c r="E7" i="14" s="1"/>
  <c r="B6" i="11"/>
  <c r="I7" i="14" s="1"/>
  <c r="D7" i="15"/>
  <c r="E7" i="15" s="1"/>
  <c r="K7" i="14"/>
  <c r="B7" i="5"/>
  <c r="H4" i="14" s="1"/>
  <c r="B8" i="5"/>
  <c r="I4" i="14" s="1"/>
  <c r="B8" i="4"/>
  <c r="E4" i="14" s="1"/>
  <c r="B7" i="4"/>
  <c r="D4" i="14" s="1"/>
  <c r="B8" i="15" s="1"/>
  <c r="K4" i="14" l="1"/>
  <c r="D8" i="15"/>
  <c r="E8" i="15" s="1"/>
  <c r="L6" i="14"/>
  <c r="L8" i="14"/>
  <c r="L7" i="14"/>
  <c r="L4" i="14" l="1"/>
  <c r="L5" i="14"/>
</calcChain>
</file>

<file path=xl/sharedStrings.xml><?xml version="1.0" encoding="utf-8"?>
<sst xmlns="http://schemas.openxmlformats.org/spreadsheetml/2006/main" count="201" uniqueCount="79">
  <si>
    <t>CAPITAL BUDGETING SENSITIVITY ANALYSIS DASHBOARD</t>
  </si>
  <si>
    <t>BASE CASE SUMMARY</t>
  </si>
  <si>
    <t>TOP 3 SENSITIVITY DRIVERS (By NPV Impact)</t>
  </si>
  <si>
    <t>Net Present Value:</t>
  </si>
  <si>
    <t>1.</t>
  </si>
  <si>
    <t>Internal Rate of Return:</t>
  </si>
  <si>
    <t>2.</t>
  </si>
  <si>
    <t>Payback Period:</t>
  </si>
  <si>
    <t>3.</t>
  </si>
  <si>
    <t>Investment Decision:</t>
  </si>
  <si>
    <t>INSTRUCTIONS:</t>
  </si>
  <si>
    <t>1. Modify assumptions in the 'Assumptions' tab (blue values)</t>
  </si>
  <si>
    <t>2. Review base case cash flows in 'Base Case' tab</t>
  </si>
  <si>
    <t>3. Analyze sensitivity results in 'Sensitivity Summary' tab</t>
  </si>
  <si>
    <t>4. View ranked impacts in 'Tornado Chart' tab</t>
  </si>
  <si>
    <t>5. Individual scenario details in 'Scenario_' tabs</t>
  </si>
  <si>
    <t>CAPITAL BUDGETING MODEL - KEY ASSUMPTIONS</t>
  </si>
  <si>
    <t>Economic Driver</t>
  </si>
  <si>
    <t>Base Case Value</t>
  </si>
  <si>
    <t>Units</t>
  </si>
  <si>
    <t>Initial Investment</t>
  </si>
  <si>
    <t>$</t>
  </si>
  <si>
    <t>Annual Revenue (Year 1)</t>
  </si>
  <si>
    <t>Revenue Growth Rate</t>
  </si>
  <si>
    <t>%</t>
  </si>
  <si>
    <t>Operating Margin</t>
  </si>
  <si>
    <t>Discount Rate (WACC)</t>
  </si>
  <si>
    <t>PROJECT PARAMETERS</t>
  </si>
  <si>
    <t>Project Life (Years)</t>
  </si>
  <si>
    <t>Terminal Growth Rate</t>
  </si>
  <si>
    <t>BASE CASE CASH FLOW ANALYSIS</t>
  </si>
  <si>
    <t>Year</t>
  </si>
  <si>
    <t>0</t>
  </si>
  <si>
    <t>1</t>
  </si>
  <si>
    <t>2</t>
  </si>
  <si>
    <t>3</t>
  </si>
  <si>
    <t>4</t>
  </si>
  <si>
    <t>5</t>
  </si>
  <si>
    <t>Revenue</t>
  </si>
  <si>
    <t>Operating Expenses</t>
  </si>
  <si>
    <t>EBITDA</t>
  </si>
  <si>
    <t>Free Cash Flow</t>
  </si>
  <si>
    <t>KEY METRICS</t>
  </si>
  <si>
    <t>Net Present Value (NPV)</t>
  </si>
  <si>
    <t>Internal Rate of Return (IRR)</t>
  </si>
  <si>
    <t>Payback Period (Years)</t>
  </si>
  <si>
    <t>Scenario: Initial Investment -10%</t>
  </si>
  <si>
    <t>NPV</t>
  </si>
  <si>
    <t>IRR</t>
  </si>
  <si>
    <t>Payback</t>
  </si>
  <si>
    <t>Scenario: Initial Investment +10%</t>
  </si>
  <si>
    <t>Scenario: Revenue Growth -10%</t>
  </si>
  <si>
    <t>Scenario: Revenue Growth +10%</t>
  </si>
  <si>
    <t>Scenario: Operating Margin -10%</t>
  </si>
  <si>
    <t>Scenario: Operating Margin +10%</t>
  </si>
  <si>
    <t>Scenario: Discount Rate -10%</t>
  </si>
  <si>
    <t>Discount Rate</t>
  </si>
  <si>
    <t>Scenario: Discount Rate +10%</t>
  </si>
  <si>
    <t>Scenario: Terminal Growth -10%</t>
  </si>
  <si>
    <t>Terminal Growth</t>
  </si>
  <si>
    <t>Terminal Value</t>
  </si>
  <si>
    <t>Cash Flow</t>
  </si>
  <si>
    <t>Scenario: Terminal Growth +10%</t>
  </si>
  <si>
    <t>SENSITIVITY ANALYSIS SUMMARY - ±10% SHOCKS</t>
  </si>
  <si>
    <t>Base NPV</t>
  </si>
  <si>
    <t>-10% Shock</t>
  </si>
  <si>
    <t>-10% NPV</t>
  </si>
  <si>
    <t>-10% IRR</t>
  </si>
  <si>
    <t>-10% Payback</t>
  </si>
  <si>
    <t>+10% Shock</t>
  </si>
  <si>
    <t>+10% NPV</t>
  </si>
  <si>
    <t>+10% IRR</t>
  </si>
  <si>
    <t>+10% Payback</t>
  </si>
  <si>
    <t>NPV Range</t>
  </si>
  <si>
    <t>Rank</t>
  </si>
  <si>
    <t>-10%</t>
  </si>
  <si>
    <t>+10%</t>
  </si>
  <si>
    <t>TORNADO CHART - NPV IMPACT RANKING</t>
  </si>
  <si>
    <t>Total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</si>
</sst>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$#,##0;&quot;($&quot;#,##0\);\-"/>
    <numFmt numFmtId="165" formatCode="0.0%"/>
    <numFmt numFmtId="166" formatCode="0.0&quot; years&quot;"/>
    <numFmt numFmtId="167" formatCode="0.0"/>
  </numFmts>
  <fonts count="11" x14ac:knownFonts="1">
    <font>
      <sz val="11"/>
      <color theme="1"/>
      <name val="Calibri"/>
      <family val="2"/>
      <charset val="1"/>
    </font>
    <font>
      <b/>
      <sz val="16"/>
      <color rgb="FFFFFFFF"/>
      <name val="Cambria"/>
      <family val="1"/>
    </font>
    <font>
      <b/>
      <sz val="12"/>
      <name val="Cambria"/>
      <family val="1"/>
    </font>
    <font>
      <b/>
      <sz val="12"/>
      <color rgb="FF008000"/>
      <name val="Cambria"/>
      <family val="1"/>
    </font>
    <font>
      <sz val="11"/>
      <color rgb="FF008000"/>
      <name val="Cambria"/>
      <family val="1"/>
    </font>
    <font>
      <b/>
      <sz val="11"/>
      <color rgb="FF008000"/>
      <name val="Cambria"/>
      <family val="1"/>
    </font>
    <font>
      <b/>
      <sz val="11"/>
      <name val="Cambria"/>
      <family val="1"/>
    </font>
    <font>
      <b/>
      <sz val="14"/>
      <name val="Cambria"/>
      <family val="1"/>
    </font>
    <font>
      <sz val="11"/>
      <color rgb="FF0000FF"/>
      <name val="Cambria"/>
      <family val="1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2F2F2"/>
        <bgColor rgb="FFF9F9F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7" fillId="0" borderId="0" xfId="0" applyFont="1"/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0" fontId="5" fillId="0" borderId="0" xfId="0" applyFont="1"/>
    <xf numFmtId="0" fontId="6" fillId="0" borderId="0" xfId="0" applyFont="1"/>
    <xf numFmtId="0" fontId="6" fillId="3" borderId="1" xfId="0" applyFont="1" applyFill="1" applyBorder="1"/>
    <xf numFmtId="164" fontId="8" fillId="0" borderId="1" xfId="0" applyNumberFormat="1" applyFont="1" applyBorder="1"/>
    <xf numFmtId="0" fontId="0" fillId="0" borderId="1" xfId="0" applyBorder="1"/>
    <xf numFmtId="165" fontId="8" fillId="0" borderId="1" xfId="0" applyNumberFormat="1" applyFont="1" applyBorder="1"/>
    <xf numFmtId="0" fontId="8" fillId="0" borderId="0" xfId="0" applyFont="1"/>
    <xf numFmtId="165" fontId="8" fillId="0" borderId="0" xfId="0" applyNumberFormat="1" applyFont="1"/>
    <xf numFmtId="0" fontId="6" fillId="3" borderId="0" xfId="0" applyFont="1" applyFill="1" applyAlignment="1">
      <alignment horizontal="center"/>
    </xf>
    <xf numFmtId="164" fontId="0" fillId="0" borderId="0" xfId="0" applyNumberFormat="1"/>
    <xf numFmtId="164" fontId="9" fillId="0" borderId="0" xfId="0" applyNumberFormat="1" applyFont="1"/>
    <xf numFmtId="164" fontId="10" fillId="0" borderId="2" xfId="0" applyNumberFormat="1" applyFont="1" applyBorder="1"/>
    <xf numFmtId="164" fontId="10" fillId="0" borderId="0" xfId="0" applyNumberFormat="1" applyFont="1"/>
    <xf numFmtId="164" fontId="10" fillId="0" borderId="3" xfId="0" applyNumberFormat="1" applyFont="1" applyBorder="1"/>
    <xf numFmtId="165" fontId="10" fillId="0" borderId="0" xfId="0" applyNumberFormat="1" applyFont="1"/>
    <xf numFmtId="167" fontId="10" fillId="0" borderId="0" xfId="0" applyNumberFormat="1" applyFont="1"/>
    <xf numFmtId="165" fontId="9" fillId="0" borderId="0" xfId="0" applyNumberFormat="1" applyFont="1"/>
    <xf numFmtId="167" fontId="4" fillId="0" borderId="0" xfId="0" applyNumberFormat="1" applyFont="1"/>
    <xf numFmtId="167" fontId="0" fillId="0" borderId="0" xfId="0" applyNumberFormat="1"/>
    <xf numFmtId="165" fontId="4" fillId="0" borderId="0" xfId="0" applyNumberFormat="1" applyFont="1"/>
    <xf numFmtId="0" fontId="6" fillId="3" borderId="1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C0504D"/>
      <rgbColor rgb="FFF9F9F9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BBB59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NPV Sensitivity - Tornado Chart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'Tornado Chart'!$B$3</c:f>
              <c:strCache>
                <c:ptCount val="1"/>
                <c:pt idx="0">
                  <c:v>-10% NPV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'Tornado Chart'!$A$4:$A$8</c:f>
              <c:strCache>
                <c:ptCount val="5"/>
                <c:pt idx="0">
                  <c:v>Terminal Growth Rate</c:v>
                </c:pt>
                <c:pt idx="1">
                  <c:v>Operating Margin</c:v>
                </c:pt>
                <c:pt idx="2">
                  <c:v>Revenue Growth Rate</c:v>
                </c:pt>
                <c:pt idx="3">
                  <c:v>Discount Rate (WACC)</c:v>
                </c:pt>
                <c:pt idx="4">
                  <c:v>Initial Investment</c:v>
                </c:pt>
              </c:strCache>
            </c:strRef>
          </c:cat>
          <c:val>
            <c:numRef>
              <c:f>'Tornado Chart'!$B$4:$B$8</c:f>
              <c:numCache>
                <c:formatCode>\$#,##0;"($"#,##0\);\-</c:formatCode>
                <c:ptCount val="5"/>
                <c:pt idx="0">
                  <c:v>6387317.0875931941</c:v>
                </c:pt>
                <c:pt idx="1">
                  <c:v>-2238619.7038205294</c:v>
                </c:pt>
                <c:pt idx="2">
                  <c:v>-1976094.2837615423</c:v>
                </c:pt>
                <c:pt idx="3">
                  <c:v>-1847370.3717194097</c:v>
                </c:pt>
                <c:pt idx="4">
                  <c:v>-1431799.6709117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1-45CD-8555-2F7B9EF9AF31}"/>
            </c:ext>
          </c:extLst>
        </c:ser>
        <c:ser>
          <c:idx val="1"/>
          <c:order val="1"/>
          <c:tx>
            <c:strRef>
              <c:f>'Tornado Chart'!$C$3</c:f>
              <c:strCache>
                <c:ptCount val="1"/>
                <c:pt idx="0">
                  <c:v>Base NPV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'Tornado Chart'!$A$4:$A$8</c:f>
              <c:strCache>
                <c:ptCount val="5"/>
                <c:pt idx="0">
                  <c:v>Terminal Growth Rate</c:v>
                </c:pt>
                <c:pt idx="1">
                  <c:v>Operating Margin</c:v>
                </c:pt>
                <c:pt idx="2">
                  <c:v>Revenue Growth Rate</c:v>
                </c:pt>
                <c:pt idx="3">
                  <c:v>Discount Rate (WACC)</c:v>
                </c:pt>
                <c:pt idx="4">
                  <c:v>Initial Investment</c:v>
                </c:pt>
              </c:strCache>
            </c:strRef>
          </c:cat>
          <c:val>
            <c:numRef>
              <c:f>'Tornado Chart'!$C$4:$C$8</c:f>
              <c:numCache>
                <c:formatCode>\$#,##0;"($"#,##0\);\-</c:formatCode>
                <c:ptCount val="5"/>
                <c:pt idx="0">
                  <c:v>-1931799.6709117</c:v>
                </c:pt>
                <c:pt idx="1">
                  <c:v>-1931799.6709117</c:v>
                </c:pt>
                <c:pt idx="2">
                  <c:v>-1931799.6709117</c:v>
                </c:pt>
                <c:pt idx="3">
                  <c:v>-1931799.6709117</c:v>
                </c:pt>
                <c:pt idx="4">
                  <c:v>-1931799.6709117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B1-45CD-8555-2F7B9EF9AF31}"/>
            </c:ext>
          </c:extLst>
        </c:ser>
        <c:ser>
          <c:idx val="2"/>
          <c:order val="2"/>
          <c:tx>
            <c:strRef>
              <c:f>'Tornado Chart'!$D$3</c:f>
              <c:strCache>
                <c:ptCount val="1"/>
                <c:pt idx="0">
                  <c:v>+10% NPV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'Tornado Chart'!$A$4:$A$8</c:f>
              <c:strCache>
                <c:ptCount val="5"/>
                <c:pt idx="0">
                  <c:v>Terminal Growth Rate</c:v>
                </c:pt>
                <c:pt idx="1">
                  <c:v>Operating Margin</c:v>
                </c:pt>
                <c:pt idx="2">
                  <c:v>Revenue Growth Rate</c:v>
                </c:pt>
                <c:pt idx="3">
                  <c:v>Discount Rate (WACC)</c:v>
                </c:pt>
                <c:pt idx="4">
                  <c:v>Initial Investment</c:v>
                </c:pt>
              </c:strCache>
            </c:strRef>
          </c:cat>
          <c:val>
            <c:numRef>
              <c:f>'Tornado Chart'!$D$4:$D$8</c:f>
              <c:numCache>
                <c:formatCode>\$#,##0;"($"#,##0\);\-</c:formatCode>
                <c:ptCount val="5"/>
                <c:pt idx="0">
                  <c:v>7185267.5098654609</c:v>
                </c:pt>
                <c:pt idx="1">
                  <c:v>-1624979.6380028692</c:v>
                </c:pt>
                <c:pt idx="2">
                  <c:v>-1886850.1023183968</c:v>
                </c:pt>
                <c:pt idx="3">
                  <c:v>-2012742.9657160565</c:v>
                </c:pt>
                <c:pt idx="4">
                  <c:v>-2431799.6709117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B1-45CD-8555-2F7B9EF9A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1612"/>
        <c:axId val="87580433"/>
      </c:barChart>
      <c:catAx>
        <c:axId val="104716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7580433"/>
        <c:crosses val="autoZero"/>
        <c:auto val="1"/>
        <c:lblAlgn val="ctr"/>
        <c:lblOffset val="100"/>
        <c:noMultiLvlLbl val="0"/>
      </c:catAx>
      <c:valAx>
        <c:axId val="87580433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;&quot;($&quot;#,##0\);\-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047161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160920</xdr:rowOff>
    </xdr:from>
    <xdr:to>
      <xdr:col>5</xdr:col>
      <xdr:colOff>362160</xdr:colOff>
      <xdr:row>28</xdr:row>
      <xdr:rowOff>140400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G23" sqref="G23"/>
    </sheetView>
  </sheetViews>
  <sheetFormatPr defaultColWidth="8.7109375" defaultRowHeight="15" x14ac:dyDescent="0.25"/>
  <cols>
    <col min="1" max="1" width="30" customWidth="1"/>
    <col min="2" max="2" width="20" customWidth="1"/>
    <col min="3" max="4" width="5" customWidth="1"/>
    <col min="5" max="5" width="30" customWidth="1"/>
    <col min="6" max="6" width="20" customWidth="1"/>
  </cols>
  <sheetData>
    <row r="1" spans="1:6" ht="30" customHeight="1" x14ac:dyDescent="0.25">
      <c r="A1" s="3" t="s">
        <v>0</v>
      </c>
      <c r="B1" s="3"/>
      <c r="C1" s="3"/>
      <c r="D1" s="3"/>
      <c r="E1" s="3"/>
      <c r="F1" s="3"/>
    </row>
    <row r="3" spans="1:6" ht="15" customHeight="1" x14ac:dyDescent="0.25">
      <c r="A3" s="2" t="s">
        <v>1</v>
      </c>
      <c r="B3" s="2"/>
      <c r="D3" s="2" t="s">
        <v>2</v>
      </c>
      <c r="E3" s="2"/>
      <c r="F3" s="2"/>
    </row>
    <row r="5" spans="1:6" ht="15" customHeight="1" x14ac:dyDescent="0.25">
      <c r="A5" t="s">
        <v>3</v>
      </c>
      <c r="B5" s="5">
        <f>'Base Case'!B16</f>
        <v>-1931799.6709117</v>
      </c>
      <c r="D5" t="s">
        <v>4</v>
      </c>
      <c r="E5" s="6" t="str">
        <f>'Tornado Chart'!A4</f>
        <v>Terminal Growth Rate</v>
      </c>
      <c r="F5" s="7">
        <f>'Tornado Chart'!E4</f>
        <v>797950.42227226682</v>
      </c>
    </row>
    <row r="6" spans="1:6" ht="15" customHeight="1" x14ac:dyDescent="0.25">
      <c r="A6" t="s">
        <v>5</v>
      </c>
      <c r="B6" s="8">
        <f>'Base Case'!B17</f>
        <v>-5.9405914149529782E-2</v>
      </c>
      <c r="D6" t="s">
        <v>6</v>
      </c>
      <c r="E6" s="6" t="str">
        <f>'Tornado Chart'!A5</f>
        <v>Operating Margin</v>
      </c>
      <c r="F6" s="7">
        <f>'Tornado Chart'!E5</f>
        <v>613640.06581766019</v>
      </c>
    </row>
    <row r="7" spans="1:6" ht="15" customHeight="1" x14ac:dyDescent="0.25">
      <c r="A7" t="s">
        <v>7</v>
      </c>
      <c r="B7" s="9" t="str">
        <f>'Base Case'!B18</f>
        <v>N/A</v>
      </c>
      <c r="D7" t="s">
        <v>8</v>
      </c>
      <c r="E7" s="6" t="str">
        <f>'Tornado Chart'!A6</f>
        <v>Revenue Growth Rate</v>
      </c>
      <c r="F7" s="7">
        <f>'Tornado Chart'!E6</f>
        <v>89244.181443145499</v>
      </c>
    </row>
    <row r="9" spans="1:6" ht="15" customHeight="1" x14ac:dyDescent="0.25">
      <c r="A9" t="s">
        <v>9</v>
      </c>
      <c r="B9" s="10" t="str">
        <f>IF('Base Case'!B16&gt;0,"ACCEPT - Positive NPV","REJECT - Negative NPV")</f>
        <v>REJECT - Negative NPV</v>
      </c>
    </row>
    <row r="12" spans="1:6" ht="15" customHeight="1" x14ac:dyDescent="0.25">
      <c r="A12" s="11" t="s">
        <v>10</v>
      </c>
    </row>
    <row r="13" spans="1:6" ht="15" customHeight="1" x14ac:dyDescent="0.25">
      <c r="A13" t="s">
        <v>11</v>
      </c>
    </row>
    <row r="14" spans="1:6" ht="15" customHeight="1" x14ac:dyDescent="0.25">
      <c r="A14" t="s">
        <v>12</v>
      </c>
    </row>
    <row r="15" spans="1:6" ht="15" customHeight="1" x14ac:dyDescent="0.25">
      <c r="A15" t="s">
        <v>13</v>
      </c>
    </row>
    <row r="16" spans="1:6" ht="15" customHeight="1" x14ac:dyDescent="0.25">
      <c r="A16" t="s">
        <v>14</v>
      </c>
    </row>
    <row r="17" spans="1:1" ht="15" customHeight="1" x14ac:dyDescent="0.25">
      <c r="A17" t="s">
        <v>15</v>
      </c>
    </row>
  </sheetData>
  <mergeCells count="3">
    <mergeCell ref="A1:F1"/>
    <mergeCell ref="A3:B3"/>
    <mergeCell ref="D3:F3"/>
  </mergeCells>
  <pageMargins left="0.75" right="0.75" top="1" bottom="1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7"/>
  <sheetViews>
    <sheetView zoomScaleNormal="100" workbookViewId="0">
      <selection activeCell="D6" sqref="D6"/>
    </sheetView>
  </sheetViews>
  <sheetFormatPr defaultColWidth="8.7109375" defaultRowHeight="15" x14ac:dyDescent="0.25"/>
  <cols>
    <col min="2" max="2" width="24.42578125" customWidth="1"/>
  </cols>
  <sheetData>
    <row r="1" spans="1:2" ht="15" customHeight="1" x14ac:dyDescent="0.25">
      <c r="A1" s="11" t="s">
        <v>55</v>
      </c>
    </row>
    <row r="3" spans="1:2" ht="15" customHeight="1" x14ac:dyDescent="0.25">
      <c r="A3" t="s">
        <v>56</v>
      </c>
      <c r="B3" s="26">
        <f>Assumptions!B8*0.9</f>
        <v>9.0000000000000011E-2</v>
      </c>
    </row>
    <row r="5" spans="1:2" ht="15" customHeight="1" x14ac:dyDescent="0.25">
      <c r="A5" t="s">
        <v>47</v>
      </c>
      <c r="B5" s="20">
        <f>NPV(B3,'Base Case'!C11:G11)+'Base Case'!B11</f>
        <v>-1847370.3717194097</v>
      </c>
    </row>
    <row r="6" spans="1:2" ht="15" customHeight="1" x14ac:dyDescent="0.25">
      <c r="A6" t="s">
        <v>48</v>
      </c>
      <c r="B6" s="29">
        <f>'Base Case'!B17</f>
        <v>-5.9405914149529782E-2</v>
      </c>
    </row>
    <row r="7" spans="1:2" ht="15" customHeight="1" x14ac:dyDescent="0.25">
      <c r="A7" t="s">
        <v>49</v>
      </c>
      <c r="B7" s="27" t="str">
        <f>'Base Case'!B18</f>
        <v>N/A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7"/>
  <sheetViews>
    <sheetView zoomScaleNormal="100" workbookViewId="0"/>
  </sheetViews>
  <sheetFormatPr defaultColWidth="8.7109375" defaultRowHeight="15" x14ac:dyDescent="0.25"/>
  <cols>
    <col min="2" max="2" width="14.5703125" customWidth="1"/>
  </cols>
  <sheetData>
    <row r="1" spans="1:2" ht="15" customHeight="1" x14ac:dyDescent="0.25">
      <c r="A1" s="11" t="s">
        <v>57</v>
      </c>
    </row>
    <row r="3" spans="1:2" ht="15" customHeight="1" x14ac:dyDescent="0.25">
      <c r="A3" t="s">
        <v>56</v>
      </c>
      <c r="B3" s="26">
        <f>Assumptions!B8*1.1</f>
        <v>0.11000000000000001</v>
      </c>
    </row>
    <row r="5" spans="1:2" ht="15" customHeight="1" x14ac:dyDescent="0.25">
      <c r="A5" t="s">
        <v>47</v>
      </c>
      <c r="B5" s="20">
        <f>NPV(B3,'Base Case'!C11:G11)+'Base Case'!B11</f>
        <v>-2012742.9657160565</v>
      </c>
    </row>
    <row r="6" spans="1:2" ht="15" customHeight="1" x14ac:dyDescent="0.25">
      <c r="A6" t="s">
        <v>48</v>
      </c>
      <c r="B6" s="29">
        <f>'Base Case'!B17</f>
        <v>-5.9405914149529782E-2</v>
      </c>
    </row>
    <row r="7" spans="1:2" ht="15" customHeight="1" x14ac:dyDescent="0.25">
      <c r="A7" t="s">
        <v>49</v>
      </c>
      <c r="B7" s="27" t="str">
        <f>'Base Case'!B18</f>
        <v>N/A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2"/>
  <sheetViews>
    <sheetView zoomScaleNormal="100" workbookViewId="0"/>
  </sheetViews>
  <sheetFormatPr defaultColWidth="8.7109375" defaultRowHeight="15" x14ac:dyDescent="0.25"/>
  <sheetData>
    <row r="1" spans="1:7" ht="15" customHeight="1" x14ac:dyDescent="0.25">
      <c r="A1" s="11" t="s">
        <v>58</v>
      </c>
    </row>
    <row r="3" spans="1:7" ht="15" customHeight="1" x14ac:dyDescent="0.25">
      <c r="A3" t="s">
        <v>59</v>
      </c>
      <c r="B3" s="26">
        <f>Assumptions!B12*0.9</f>
        <v>2.7E-2</v>
      </c>
    </row>
    <row r="5" spans="1:7" ht="15" customHeight="1" x14ac:dyDescent="0.25">
      <c r="A5" t="s">
        <v>60</v>
      </c>
      <c r="B5" s="20">
        <f>'Base Case'!G11*(1+B3)/(Assumptions!B8-B3)</f>
        <v>13398020.730739724</v>
      </c>
    </row>
    <row r="6" spans="1:7" ht="15" customHeight="1" x14ac:dyDescent="0.25">
      <c r="A6" t="s">
        <v>47</v>
      </c>
      <c r="B6" s="20">
        <f>NPV(Assumptions!B8,'Base Case'!C11,'Base Case'!D11,'Base Case'!E11,'Base Case'!F11,'Base Case'!G11+B5)+'Base Case'!B11</f>
        <v>6387317.0875931941</v>
      </c>
    </row>
    <row r="7" spans="1:7" ht="15" customHeight="1" x14ac:dyDescent="0.25">
      <c r="A7" t="s">
        <v>48</v>
      </c>
      <c r="B7" s="26">
        <f>IRR(B12:G12)</f>
        <v>0.3319824034121992</v>
      </c>
    </row>
    <row r="8" spans="1:7" ht="15" customHeight="1" x14ac:dyDescent="0.25">
      <c r="A8" t="s">
        <v>49</v>
      </c>
      <c r="B8" s="27" t="str">
        <f>'Base Case'!B18</f>
        <v>N/A</v>
      </c>
    </row>
    <row r="11" spans="1:7" x14ac:dyDescent="0.25">
      <c r="A11" t="s">
        <v>31</v>
      </c>
      <c r="B11" t="s">
        <v>32</v>
      </c>
      <c r="C11" t="s">
        <v>33</v>
      </c>
      <c r="D11" t="s">
        <v>34</v>
      </c>
      <c r="E11" t="s">
        <v>35</v>
      </c>
      <c r="F11" t="s">
        <v>36</v>
      </c>
      <c r="G11" t="s">
        <v>37</v>
      </c>
    </row>
    <row r="12" spans="1:7" x14ac:dyDescent="0.25">
      <c r="A12" t="s">
        <v>61</v>
      </c>
      <c r="B12" s="19">
        <f>'Base Case'!B11</f>
        <v>-5000000</v>
      </c>
      <c r="C12" s="19">
        <f>'Base Case'!C11</f>
        <v>700000</v>
      </c>
      <c r="D12" s="19">
        <f>'Base Case'!D11</f>
        <v>756000</v>
      </c>
      <c r="E12" s="19">
        <f>'Base Case'!E11</f>
        <v>816480</v>
      </c>
      <c r="F12" s="19">
        <f>'Base Case'!F11</f>
        <v>881798.39999999991</v>
      </c>
      <c r="G12" s="19">
        <f>'Base Case'!G11+B5</f>
        <v>14350363.002739724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"/>
  <sheetViews>
    <sheetView zoomScaleNormal="100" workbookViewId="0">
      <selection activeCell="B1" sqref="B1:G1048576"/>
    </sheetView>
  </sheetViews>
  <sheetFormatPr defaultColWidth="8.7109375" defaultRowHeight="15" x14ac:dyDescent="0.25"/>
  <cols>
    <col min="2" max="7" width="14.85546875" customWidth="1"/>
  </cols>
  <sheetData>
    <row r="1" spans="1:7" ht="15" customHeight="1" x14ac:dyDescent="0.25">
      <c r="A1" s="11" t="s">
        <v>62</v>
      </c>
    </row>
    <row r="3" spans="1:7" ht="15" customHeight="1" x14ac:dyDescent="0.25">
      <c r="A3" t="s">
        <v>59</v>
      </c>
      <c r="B3" s="26">
        <f>Assumptions!B12*1.1</f>
        <v>3.3000000000000002E-2</v>
      </c>
    </row>
    <row r="5" spans="1:7" ht="15" customHeight="1" x14ac:dyDescent="0.25">
      <c r="A5" t="s">
        <v>60</v>
      </c>
      <c r="B5" s="20">
        <f>'Base Case'!G11*(1+B3)/(Assumptions!B8-B3)</f>
        <v>14683127.865313433</v>
      </c>
    </row>
    <row r="6" spans="1:7" ht="15" customHeight="1" x14ac:dyDescent="0.25">
      <c r="A6" t="s">
        <v>47</v>
      </c>
      <c r="B6" s="20">
        <f>NPV(Assumptions!B8,'Base Case'!C11,'Base Case'!D11,'Base Case'!E11,'Base Case'!F11,'Base Case'!G11+B5)+'Base Case'!B11</f>
        <v>7185267.5098654609</v>
      </c>
    </row>
    <row r="7" spans="1:7" ht="15" customHeight="1" x14ac:dyDescent="0.25">
      <c r="A7" t="s">
        <v>48</v>
      </c>
      <c r="B7" s="26">
        <f>IRR(B12:G12)</f>
        <v>0.35114201671971168</v>
      </c>
    </row>
    <row r="8" spans="1:7" ht="15" customHeight="1" x14ac:dyDescent="0.25">
      <c r="A8" t="s">
        <v>49</v>
      </c>
      <c r="B8" s="27" t="str">
        <f>'Base Case'!B18</f>
        <v>N/A</v>
      </c>
    </row>
    <row r="11" spans="1:7" x14ac:dyDescent="0.25">
      <c r="A11" t="s">
        <v>31</v>
      </c>
      <c r="B11" t="s">
        <v>32</v>
      </c>
      <c r="C11" t="s">
        <v>33</v>
      </c>
      <c r="D11" t="s">
        <v>34</v>
      </c>
      <c r="E11" t="s">
        <v>35</v>
      </c>
      <c r="F11" t="s">
        <v>36</v>
      </c>
      <c r="G11" t="s">
        <v>37</v>
      </c>
    </row>
    <row r="12" spans="1:7" x14ac:dyDescent="0.25">
      <c r="A12" t="s">
        <v>61</v>
      </c>
      <c r="B12" s="19">
        <f>'Base Case'!B11</f>
        <v>-5000000</v>
      </c>
      <c r="C12" s="19">
        <f>'Base Case'!C11</f>
        <v>700000</v>
      </c>
      <c r="D12" s="19">
        <f>'Base Case'!D11</f>
        <v>756000</v>
      </c>
      <c r="E12" s="19">
        <f>'Base Case'!E11</f>
        <v>816480</v>
      </c>
      <c r="F12" s="19">
        <f>'Base Case'!F11</f>
        <v>881798.39999999991</v>
      </c>
      <c r="G12" s="19">
        <f>'Base Case'!G11+B5</f>
        <v>15635470.137313433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8"/>
  <sheetViews>
    <sheetView zoomScaleNormal="100" workbookViewId="0">
      <selection sqref="A1:L1"/>
    </sheetView>
  </sheetViews>
  <sheetFormatPr defaultColWidth="8.7109375" defaultRowHeight="15" x14ac:dyDescent="0.25"/>
  <cols>
    <col min="1" max="1" width="25" customWidth="1"/>
    <col min="2" max="12" width="14" customWidth="1"/>
  </cols>
  <sheetData>
    <row r="1" spans="1:12" ht="17.25" customHeight="1" x14ac:dyDescent="0.25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27.75" customHeight="1" x14ac:dyDescent="0.25">
      <c r="A3" s="30" t="s">
        <v>17</v>
      </c>
      <c r="B3" s="30" t="s">
        <v>64</v>
      </c>
      <c r="C3" s="30" t="s">
        <v>65</v>
      </c>
      <c r="D3" s="30" t="s">
        <v>66</v>
      </c>
      <c r="E3" s="30" t="s">
        <v>67</v>
      </c>
      <c r="F3" s="30" t="s">
        <v>68</v>
      </c>
      <c r="G3" s="30" t="s">
        <v>69</v>
      </c>
      <c r="H3" s="30" t="s">
        <v>70</v>
      </c>
      <c r="I3" s="30" t="s">
        <v>71</v>
      </c>
      <c r="J3" s="30" t="s">
        <v>72</v>
      </c>
      <c r="K3" s="30" t="s">
        <v>73</v>
      </c>
      <c r="L3" s="30" t="s">
        <v>74</v>
      </c>
    </row>
    <row r="4" spans="1:12" ht="15" customHeight="1" x14ac:dyDescent="0.25">
      <c r="A4" t="s">
        <v>20</v>
      </c>
      <c r="B4" s="7">
        <f>'Base Case'!B16</f>
        <v>-1931799.6709117</v>
      </c>
      <c r="C4" t="s">
        <v>75</v>
      </c>
      <c r="D4" s="7">
        <f>Scenario_InvDown!B7</f>
        <v>-1431799.6709117</v>
      </c>
      <c r="E4" s="29">
        <f>Scenario_InvDown!B8</f>
        <v>-2.833897397986751E-2</v>
      </c>
      <c r="F4" s="27" t="str">
        <f>Scenario_InvDown!B9</f>
        <v>N/A</v>
      </c>
      <c r="G4" t="s">
        <v>76</v>
      </c>
      <c r="H4" s="7">
        <f>Scenario_InvUp!B7</f>
        <v>-2431799.6709117</v>
      </c>
      <c r="I4" s="29">
        <f>Scenario_InvUp!B8</f>
        <v>-8.6165848280277735E-2</v>
      </c>
      <c r="J4" s="27" t="str">
        <f>Scenario_InvUp!B9</f>
        <v>N/A</v>
      </c>
      <c r="K4" s="20">
        <f>ABS(H4-D4)</f>
        <v>1000000</v>
      </c>
      <c r="L4" s="31">
        <f>RANK(K4,$K$4:$K$8,0)</f>
        <v>1</v>
      </c>
    </row>
    <row r="5" spans="1:12" ht="15" customHeight="1" x14ac:dyDescent="0.25">
      <c r="A5" t="s">
        <v>23</v>
      </c>
      <c r="B5" s="7">
        <f>'Base Case'!B16</f>
        <v>-1931799.6709117</v>
      </c>
      <c r="C5" t="s">
        <v>75</v>
      </c>
      <c r="D5" s="7">
        <f>Scenario_RevGrDown!B8</f>
        <v>-1976094.2837615423</v>
      </c>
      <c r="E5" s="29">
        <f>Scenario_RevGrDown!B9</f>
        <v>-6.4249336187852002E-2</v>
      </c>
      <c r="F5" s="27">
        <f>Scenario_RevGrDown!B10</f>
        <v>2.5</v>
      </c>
      <c r="G5" t="s">
        <v>76</v>
      </c>
      <c r="H5" s="7">
        <f>Scenario_RevGrUp!B8</f>
        <v>-1886850.1023183968</v>
      </c>
      <c r="I5" s="29">
        <f>Scenario_RevGrUp!B9</f>
        <v>-5.4570571593001049E-2</v>
      </c>
      <c r="J5" s="27">
        <f>Scenario_RevGrUp!B10</f>
        <v>2.5</v>
      </c>
      <c r="K5" s="20">
        <f>ABS(H5-D5)</f>
        <v>89244.181443145499</v>
      </c>
      <c r="L5" s="31">
        <f>RANK(K5,$K$4:$K$8,0)</f>
        <v>5</v>
      </c>
    </row>
    <row r="6" spans="1:12" ht="15" customHeight="1" x14ac:dyDescent="0.25">
      <c r="A6" t="s">
        <v>25</v>
      </c>
      <c r="B6" s="7">
        <f>'Base Case'!B16</f>
        <v>-1931799.6709117</v>
      </c>
      <c r="C6" t="s">
        <v>75</v>
      </c>
      <c r="D6" s="7">
        <f>Scenario_MarginDown!B7</f>
        <v>-2238619.7038205294</v>
      </c>
      <c r="E6" s="29">
        <f>Scenario_MarginDown!B8</f>
        <v>-8.8917220382737971E-2</v>
      </c>
      <c r="F6" s="27">
        <f>Scenario_MarginDown!B9</f>
        <v>2.8</v>
      </c>
      <c r="G6" t="s">
        <v>76</v>
      </c>
      <c r="H6" s="7">
        <f>Scenario_MarginUp!B7</f>
        <v>-1624979.6380028692</v>
      </c>
      <c r="I6" s="29">
        <f>Scenario_MarginUp!B8</f>
        <v>-3.1373146956122921E-2</v>
      </c>
      <c r="J6" s="27">
        <f>Scenario_MarginUp!B9</f>
        <v>2.2999999999999998</v>
      </c>
      <c r="K6" s="20">
        <f>ABS(H6-D6)</f>
        <v>613640.06581766019</v>
      </c>
      <c r="L6" s="31">
        <f>RANK(K6,$K$4:$K$8,0)</f>
        <v>3</v>
      </c>
    </row>
    <row r="7" spans="1:12" ht="15" customHeight="1" x14ac:dyDescent="0.25">
      <c r="A7" t="s">
        <v>26</v>
      </c>
      <c r="B7" s="7">
        <f>'Base Case'!B16</f>
        <v>-1931799.6709117</v>
      </c>
      <c r="C7" t="s">
        <v>75</v>
      </c>
      <c r="D7" s="7">
        <f>Scenario_WACCDown!B5</f>
        <v>-1847370.3717194097</v>
      </c>
      <c r="E7" s="29">
        <f>Scenario_WACCDown!B6</f>
        <v>-5.9405914149529782E-2</v>
      </c>
      <c r="F7" s="27" t="str">
        <f>Scenario_WACCDown!B7</f>
        <v>N/A</v>
      </c>
      <c r="G7" t="s">
        <v>76</v>
      </c>
      <c r="H7" s="7">
        <f>Scenario_WACCUp!B5</f>
        <v>-2012742.9657160565</v>
      </c>
      <c r="I7" s="29">
        <f>Scenario_WACCUp!B6</f>
        <v>-5.9405914149529782E-2</v>
      </c>
      <c r="J7" s="27" t="str">
        <f>Scenario_WACCUp!B7</f>
        <v>N/A</v>
      </c>
      <c r="K7" s="20">
        <f>ABS(H7-D7)</f>
        <v>165372.59399664681</v>
      </c>
      <c r="L7" s="31">
        <f>RANK(K7,$K$4:$K$8,0)</f>
        <v>4</v>
      </c>
    </row>
    <row r="8" spans="1:12" ht="15" customHeight="1" x14ac:dyDescent="0.25">
      <c r="A8" t="s">
        <v>29</v>
      </c>
      <c r="B8" s="7">
        <f>'Base Case'!B16</f>
        <v>-1931799.6709117</v>
      </c>
      <c r="C8" t="s">
        <v>75</v>
      </c>
      <c r="D8" s="7">
        <f>Scenario_TermGrDown!B6</f>
        <v>6387317.0875931941</v>
      </c>
      <c r="E8" s="29">
        <f>Scenario_TermGrDown!B7</f>
        <v>0.3319824034121992</v>
      </c>
      <c r="F8" s="27" t="str">
        <f>Scenario_TermGrDown!B8</f>
        <v>N/A</v>
      </c>
      <c r="G8" t="s">
        <v>76</v>
      </c>
      <c r="H8" s="7">
        <f>Scenario_TermGrUp!B6</f>
        <v>7185267.5098654609</v>
      </c>
      <c r="I8" s="29">
        <f>Scenario_TermGrUp!B7</f>
        <v>0.35114201671971168</v>
      </c>
      <c r="J8" s="27" t="str">
        <f>Scenario_TermGrUp!B8</f>
        <v>N/A</v>
      </c>
      <c r="K8" s="20">
        <f>ABS(H8-D8)</f>
        <v>797950.42227226682</v>
      </c>
      <c r="L8" s="31">
        <f>RANK(K8,$K$4:$K$8,0)</f>
        <v>2</v>
      </c>
    </row>
  </sheetData>
  <mergeCells count="1">
    <mergeCell ref="A1:L1"/>
  </mergeCells>
  <pageMargins left="0.75" right="0.75" top="1" bottom="1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8"/>
  <sheetViews>
    <sheetView zoomScaleNormal="100" workbookViewId="0">
      <selection sqref="A1:E1"/>
    </sheetView>
  </sheetViews>
  <sheetFormatPr defaultColWidth="8.7109375" defaultRowHeight="15" x14ac:dyDescent="0.25"/>
  <cols>
    <col min="1" max="1" width="25" customWidth="1"/>
    <col min="2" max="5" width="18" customWidth="1"/>
  </cols>
  <sheetData>
    <row r="1" spans="1:5" ht="17.25" customHeight="1" x14ac:dyDescent="0.25">
      <c r="A1" s="1" t="s">
        <v>77</v>
      </c>
      <c r="B1" s="1"/>
      <c r="C1" s="1"/>
      <c r="D1" s="1"/>
      <c r="E1" s="1"/>
    </row>
    <row r="3" spans="1:5" ht="15" customHeight="1" x14ac:dyDescent="0.25">
      <c r="A3" s="32" t="s">
        <v>17</v>
      </c>
      <c r="B3" s="32" t="s">
        <v>66</v>
      </c>
      <c r="C3" s="32" t="s">
        <v>64</v>
      </c>
      <c r="D3" s="32" t="s">
        <v>70</v>
      </c>
      <c r="E3" s="32" t="s">
        <v>78</v>
      </c>
    </row>
    <row r="4" spans="1:5" ht="15" customHeight="1" x14ac:dyDescent="0.25">
      <c r="A4" t="s">
        <v>29</v>
      </c>
      <c r="B4" s="7">
        <f>VLOOKUP(A4,'Sensitivity Summary'!$A$4:$H$8,4,FALSE())</f>
        <v>6387317.0875931941</v>
      </c>
      <c r="C4" s="7">
        <f>'Base Case'!B16</f>
        <v>-1931799.6709117</v>
      </c>
      <c r="D4" s="7">
        <f>VLOOKUP(A4,'Sensitivity Summary'!$A$4:$H$8,8,FALSE())</f>
        <v>7185267.5098654609</v>
      </c>
      <c r="E4" s="20">
        <f>ABS(D4-B4)</f>
        <v>797950.42227226682</v>
      </c>
    </row>
    <row r="5" spans="1:5" ht="15" customHeight="1" x14ac:dyDescent="0.25">
      <c r="A5" t="s">
        <v>25</v>
      </c>
      <c r="B5" s="7">
        <f>VLOOKUP(A5,'Sensitivity Summary'!$A$4:$H$8,4,FALSE())</f>
        <v>-2238619.7038205294</v>
      </c>
      <c r="C5" s="7">
        <f>'Base Case'!B16</f>
        <v>-1931799.6709117</v>
      </c>
      <c r="D5" s="7">
        <f>VLOOKUP(A5,'Sensitivity Summary'!$A$4:$H$8,8,FALSE())</f>
        <v>-1624979.6380028692</v>
      </c>
      <c r="E5" s="20">
        <f>ABS(D5-B5)</f>
        <v>613640.06581766019</v>
      </c>
    </row>
    <row r="6" spans="1:5" ht="15" customHeight="1" x14ac:dyDescent="0.25">
      <c r="A6" t="s">
        <v>23</v>
      </c>
      <c r="B6" s="7">
        <f>VLOOKUP(A6,'Sensitivity Summary'!$A$4:$H$8,4,FALSE())</f>
        <v>-1976094.2837615423</v>
      </c>
      <c r="C6" s="7">
        <f>'Base Case'!B16</f>
        <v>-1931799.6709117</v>
      </c>
      <c r="D6" s="7">
        <f>VLOOKUP(A6,'Sensitivity Summary'!$A$4:$H$8,8,FALSE())</f>
        <v>-1886850.1023183968</v>
      </c>
      <c r="E6" s="20">
        <f>ABS(D6-B6)</f>
        <v>89244.181443145499</v>
      </c>
    </row>
    <row r="7" spans="1:5" ht="15" customHeight="1" x14ac:dyDescent="0.25">
      <c r="A7" t="s">
        <v>26</v>
      </c>
      <c r="B7" s="7">
        <f>VLOOKUP(A7,'Sensitivity Summary'!$A$4:$H$8,4,FALSE())</f>
        <v>-1847370.3717194097</v>
      </c>
      <c r="C7" s="7">
        <f>'Base Case'!B16</f>
        <v>-1931799.6709117</v>
      </c>
      <c r="D7" s="7">
        <f>VLOOKUP(A7,'Sensitivity Summary'!$A$4:$H$8,8,FALSE())</f>
        <v>-2012742.9657160565</v>
      </c>
      <c r="E7" s="20">
        <f>ABS(D7-B7)</f>
        <v>165372.59399664681</v>
      </c>
    </row>
    <row r="8" spans="1:5" ht="15" customHeight="1" x14ac:dyDescent="0.25">
      <c r="A8" t="s">
        <v>20</v>
      </c>
      <c r="B8" s="7">
        <f>VLOOKUP(A8,'Sensitivity Summary'!$A$4:$H$8,4,FALSE())</f>
        <v>-1431799.6709117</v>
      </c>
      <c r="C8" s="7">
        <f>'Base Case'!B16</f>
        <v>-1931799.6709117</v>
      </c>
      <c r="D8" s="7">
        <f>VLOOKUP(A8,'Sensitivity Summary'!$A$4:$H$8,8,FALSE())</f>
        <v>-2431799.6709117</v>
      </c>
      <c r="E8" s="20">
        <f>ABS(D8-B8)</f>
        <v>1000000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zoomScaleNormal="100" workbookViewId="0">
      <selection sqref="A1:C1"/>
    </sheetView>
  </sheetViews>
  <sheetFormatPr defaultColWidth="8.7109375" defaultRowHeight="15" x14ac:dyDescent="0.25"/>
  <cols>
    <col min="1" max="1" width="30" customWidth="1"/>
    <col min="2" max="2" width="20" customWidth="1"/>
    <col min="3" max="3" width="10" customWidth="1"/>
  </cols>
  <sheetData>
    <row r="1" spans="1:3" ht="17.25" customHeight="1" x14ac:dyDescent="0.25">
      <c r="A1" s="1" t="s">
        <v>16</v>
      </c>
      <c r="B1" s="1"/>
      <c r="C1" s="1"/>
    </row>
    <row r="3" spans="1:3" ht="15" customHeight="1" x14ac:dyDescent="0.25">
      <c r="A3" s="12" t="s">
        <v>17</v>
      </c>
      <c r="B3" s="12" t="s">
        <v>18</v>
      </c>
      <c r="C3" s="12" t="s">
        <v>19</v>
      </c>
    </row>
    <row r="4" spans="1:3" ht="15" customHeight="1" x14ac:dyDescent="0.25">
      <c r="A4" t="s">
        <v>20</v>
      </c>
      <c r="B4" s="13">
        <v>-5000000</v>
      </c>
      <c r="C4" s="14" t="s">
        <v>21</v>
      </c>
    </row>
    <row r="5" spans="1:3" ht="15" customHeight="1" x14ac:dyDescent="0.25">
      <c r="A5" t="s">
        <v>22</v>
      </c>
      <c r="B5" s="13">
        <v>2000000</v>
      </c>
      <c r="C5" s="14" t="s">
        <v>21</v>
      </c>
    </row>
    <row r="6" spans="1:3" ht="15" customHeight="1" x14ac:dyDescent="0.25">
      <c r="A6" t="s">
        <v>23</v>
      </c>
      <c r="B6" s="15">
        <v>0.08</v>
      </c>
      <c r="C6" s="14" t="s">
        <v>24</v>
      </c>
    </row>
    <row r="7" spans="1:3" ht="15" customHeight="1" x14ac:dyDescent="0.25">
      <c r="A7" t="s">
        <v>25</v>
      </c>
      <c r="B7" s="15">
        <v>0.35</v>
      </c>
      <c r="C7" s="14" t="s">
        <v>24</v>
      </c>
    </row>
    <row r="8" spans="1:3" ht="15" customHeight="1" x14ac:dyDescent="0.25">
      <c r="A8" t="s">
        <v>26</v>
      </c>
      <c r="B8" s="15">
        <v>0.1</v>
      </c>
      <c r="C8" s="14" t="s">
        <v>24</v>
      </c>
    </row>
    <row r="10" spans="1:3" ht="15" customHeight="1" x14ac:dyDescent="0.25">
      <c r="A10" s="11" t="s">
        <v>27</v>
      </c>
    </row>
    <row r="11" spans="1:3" ht="15" customHeight="1" x14ac:dyDescent="0.25">
      <c r="A11" t="s">
        <v>28</v>
      </c>
      <c r="B11" s="16">
        <v>5</v>
      </c>
    </row>
    <row r="12" spans="1:3" ht="15" customHeight="1" x14ac:dyDescent="0.25">
      <c r="A12" t="s">
        <v>29</v>
      </c>
      <c r="B12" s="17">
        <v>0.03</v>
      </c>
    </row>
  </sheetData>
  <mergeCells count="1">
    <mergeCell ref="A1:C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zoomScaleNormal="100" workbookViewId="0">
      <selection sqref="A1:G1"/>
    </sheetView>
  </sheetViews>
  <sheetFormatPr defaultColWidth="8.7109375" defaultRowHeight="15" x14ac:dyDescent="0.25"/>
  <cols>
    <col min="1" max="1" width="25" customWidth="1"/>
    <col min="2" max="7" width="15" customWidth="1"/>
  </cols>
  <sheetData>
    <row r="1" spans="1:7" ht="17.25" customHeight="1" x14ac:dyDescent="0.25">
      <c r="A1" s="1" t="s">
        <v>30</v>
      </c>
      <c r="B1" s="1"/>
      <c r="C1" s="1"/>
      <c r="D1" s="1"/>
      <c r="E1" s="1"/>
      <c r="F1" s="1"/>
      <c r="G1" s="1"/>
    </row>
    <row r="3" spans="1:7" ht="15" customHeight="1" x14ac:dyDescent="0.25">
      <c r="A3" s="18" t="s">
        <v>31</v>
      </c>
      <c r="B3" s="18" t="s">
        <v>32</v>
      </c>
      <c r="C3" s="18" t="s">
        <v>33</v>
      </c>
      <c r="D3" s="18" t="s">
        <v>34</v>
      </c>
      <c r="E3" s="18" t="s">
        <v>35</v>
      </c>
      <c r="F3" s="18" t="s">
        <v>36</v>
      </c>
      <c r="G3" s="18" t="s">
        <v>37</v>
      </c>
    </row>
    <row r="5" spans="1:7" ht="15" customHeight="1" x14ac:dyDescent="0.25">
      <c r="A5" t="s">
        <v>20</v>
      </c>
      <c r="B5" s="7">
        <f>Assumptions!B4</f>
        <v>-5000000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</row>
    <row r="7" spans="1:7" ht="15" customHeight="1" x14ac:dyDescent="0.25">
      <c r="A7" t="s">
        <v>38</v>
      </c>
      <c r="C7" s="7">
        <f>Assumptions!B5</f>
        <v>2000000</v>
      </c>
      <c r="D7" s="20">
        <f>C7*(1+Assumptions!B6)</f>
        <v>2160000</v>
      </c>
      <c r="E7" s="20">
        <f>D7*(1+Assumptions!B6)</f>
        <v>2332800</v>
      </c>
      <c r="F7" s="20">
        <f>E7*(1+Assumptions!B6)</f>
        <v>2519424</v>
      </c>
      <c r="G7" s="20">
        <f>F7*(1+Assumptions!B6)</f>
        <v>2720977.9200000004</v>
      </c>
    </row>
    <row r="8" spans="1:7" ht="15" customHeight="1" x14ac:dyDescent="0.25">
      <c r="A8" t="s">
        <v>39</v>
      </c>
      <c r="C8" s="20">
        <f>C7*(1-Assumptions!B7)</f>
        <v>1300000</v>
      </c>
      <c r="D8" s="20">
        <f>D7*(1-Assumptions!B7)</f>
        <v>1404000</v>
      </c>
      <c r="E8" s="20">
        <f>E7*(1-Assumptions!B7)</f>
        <v>1516320</v>
      </c>
      <c r="F8" s="20">
        <f>F7*(1-Assumptions!B7)</f>
        <v>1637625.6</v>
      </c>
      <c r="G8" s="20">
        <f>G7*(1-Assumptions!B7)</f>
        <v>1768635.6480000003</v>
      </c>
    </row>
    <row r="9" spans="1:7" ht="15" customHeight="1" x14ac:dyDescent="0.25">
      <c r="A9" s="11" t="s">
        <v>40</v>
      </c>
      <c r="C9" s="21">
        <f>C7-C8</f>
        <v>700000</v>
      </c>
      <c r="D9" s="21">
        <f>D7-D8</f>
        <v>756000</v>
      </c>
      <c r="E9" s="21">
        <f>E7-E8</f>
        <v>816480</v>
      </c>
      <c r="F9" s="21">
        <f>F7-F8</f>
        <v>881798.39999999991</v>
      </c>
      <c r="G9" s="21">
        <f>G7-G8</f>
        <v>952342.27200000011</v>
      </c>
    </row>
    <row r="11" spans="1:7" ht="15" customHeight="1" x14ac:dyDescent="0.25">
      <c r="A11" s="11" t="s">
        <v>41</v>
      </c>
      <c r="B11" s="22">
        <f>B5</f>
        <v>-5000000</v>
      </c>
      <c r="C11" s="23">
        <f>C9</f>
        <v>700000</v>
      </c>
      <c r="D11" s="23">
        <f>D9</f>
        <v>756000</v>
      </c>
      <c r="E11" s="23">
        <f>E9</f>
        <v>816480</v>
      </c>
      <c r="F11" s="23">
        <f>F9</f>
        <v>881798.39999999991</v>
      </c>
      <c r="G11" s="23">
        <f>G9</f>
        <v>952342.27200000011</v>
      </c>
    </row>
    <row r="14" spans="1:7" ht="15" customHeight="1" x14ac:dyDescent="0.25">
      <c r="A14" s="4" t="s">
        <v>42</v>
      </c>
    </row>
    <row r="16" spans="1:7" ht="15" customHeight="1" x14ac:dyDescent="0.25">
      <c r="A16" t="s">
        <v>43</v>
      </c>
      <c r="B16" s="22">
        <f>NPV(Assumptions!B8,C11:G11)+B11</f>
        <v>-1931799.6709117</v>
      </c>
    </row>
    <row r="17" spans="1:2" ht="15" customHeight="1" x14ac:dyDescent="0.25">
      <c r="A17" t="s">
        <v>44</v>
      </c>
      <c r="B17" s="24">
        <f>IRR(B11:G11)</f>
        <v>-5.9405914149529782E-2</v>
      </c>
    </row>
    <row r="18" spans="1:2" ht="15" customHeight="1" x14ac:dyDescent="0.25">
      <c r="A18" t="s">
        <v>45</v>
      </c>
      <c r="B18" s="25" t="str">
        <f>IFERROR(MATCH(TRUE(),C11:G11&gt;=-SUM($B$11:B11),0),"N/A")</f>
        <v>N/A</v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zoomScaleNormal="100" workbookViewId="0">
      <selection activeCell="B1" sqref="B1:G1048576"/>
    </sheetView>
  </sheetViews>
  <sheetFormatPr defaultColWidth="8.7109375" defaultRowHeight="15" x14ac:dyDescent="0.25"/>
  <cols>
    <col min="2" max="7" width="16.28515625" customWidth="1"/>
  </cols>
  <sheetData>
    <row r="1" spans="1:7" ht="15" customHeight="1" x14ac:dyDescent="0.25">
      <c r="A1" s="11" t="s">
        <v>46</v>
      </c>
    </row>
    <row r="3" spans="1:7" ht="15" customHeight="1" x14ac:dyDescent="0.25">
      <c r="A3" t="s">
        <v>31</v>
      </c>
      <c r="B3" t="s">
        <v>32</v>
      </c>
      <c r="C3" t="s">
        <v>33</v>
      </c>
      <c r="D3" t="s">
        <v>34</v>
      </c>
      <c r="E3" t="s">
        <v>35</v>
      </c>
      <c r="F3" t="s">
        <v>36</v>
      </c>
      <c r="G3" t="s">
        <v>37</v>
      </c>
    </row>
    <row r="5" spans="1:7" ht="15" customHeight="1" x14ac:dyDescent="0.25">
      <c r="A5" t="s">
        <v>41</v>
      </c>
      <c r="B5" s="20">
        <f>Assumptions!B4*0.9</f>
        <v>-4500000</v>
      </c>
      <c r="C5" s="7">
        <f>'Base Case'!C11</f>
        <v>700000</v>
      </c>
      <c r="D5" s="7">
        <f>'Base Case'!D11</f>
        <v>756000</v>
      </c>
      <c r="E5" s="7">
        <f>'Base Case'!E11</f>
        <v>816480</v>
      </c>
      <c r="F5" s="7">
        <f>'Base Case'!F11</f>
        <v>881798.39999999991</v>
      </c>
      <c r="G5" s="7">
        <f>'Base Case'!G11</f>
        <v>952342.27200000011</v>
      </c>
    </row>
    <row r="7" spans="1:7" ht="15" customHeight="1" x14ac:dyDescent="0.25">
      <c r="A7" t="s">
        <v>47</v>
      </c>
      <c r="B7" s="20">
        <f>NPV(Assumptions!B8,C5:G5)+B5</f>
        <v>-1431799.6709117</v>
      </c>
    </row>
    <row r="8" spans="1:7" ht="15" customHeight="1" x14ac:dyDescent="0.25">
      <c r="A8" t="s">
        <v>48</v>
      </c>
      <c r="B8" s="26">
        <f>IRR(B5:G5)</f>
        <v>-2.833897397986751E-2</v>
      </c>
    </row>
    <row r="9" spans="1:7" ht="15" customHeight="1" x14ac:dyDescent="0.25">
      <c r="A9" t="s">
        <v>49</v>
      </c>
      <c r="B9" s="27" t="str">
        <f>'Base Case'!B18</f>
        <v>N/A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zoomScaleNormal="100" workbookViewId="0">
      <selection activeCell="B1" sqref="B1:G1048576"/>
    </sheetView>
  </sheetViews>
  <sheetFormatPr defaultColWidth="8.7109375" defaultRowHeight="15" x14ac:dyDescent="0.25"/>
  <cols>
    <col min="2" max="7" width="18" customWidth="1"/>
  </cols>
  <sheetData>
    <row r="1" spans="1:7" ht="15" customHeight="1" x14ac:dyDescent="0.25">
      <c r="A1" s="11" t="s">
        <v>50</v>
      </c>
    </row>
    <row r="3" spans="1:7" ht="15" customHeight="1" x14ac:dyDescent="0.25">
      <c r="A3" t="s">
        <v>31</v>
      </c>
      <c r="B3" t="s">
        <v>32</v>
      </c>
      <c r="C3" t="s">
        <v>33</v>
      </c>
      <c r="D3" t="s">
        <v>34</v>
      </c>
      <c r="E3" t="s">
        <v>35</v>
      </c>
      <c r="F3" t="s">
        <v>36</v>
      </c>
      <c r="G3" t="s">
        <v>37</v>
      </c>
    </row>
    <row r="5" spans="1:7" ht="15" customHeight="1" x14ac:dyDescent="0.25">
      <c r="A5" t="s">
        <v>41</v>
      </c>
      <c r="B5" s="20">
        <f>Assumptions!B4*1.1</f>
        <v>-5500000</v>
      </c>
      <c r="C5" s="7">
        <f>'Base Case'!C11</f>
        <v>700000</v>
      </c>
      <c r="D5" s="7">
        <f>'Base Case'!D11</f>
        <v>756000</v>
      </c>
      <c r="E5" s="7">
        <f>'Base Case'!E11</f>
        <v>816480</v>
      </c>
      <c r="F5" s="7">
        <f>'Base Case'!F11</f>
        <v>881798.39999999991</v>
      </c>
      <c r="G5" s="7">
        <f>'Base Case'!G11</f>
        <v>952342.27200000011</v>
      </c>
    </row>
    <row r="7" spans="1:7" ht="15" customHeight="1" x14ac:dyDescent="0.25">
      <c r="A7" t="s">
        <v>47</v>
      </c>
      <c r="B7" s="20">
        <f>NPV(Assumptions!B8,C5:G5)+B5</f>
        <v>-2431799.6709117</v>
      </c>
    </row>
    <row r="8" spans="1:7" ht="15" customHeight="1" x14ac:dyDescent="0.25">
      <c r="A8" t="s">
        <v>48</v>
      </c>
      <c r="B8" s="26">
        <f>IRR(B5:G5)</f>
        <v>-8.6165848280277735E-2</v>
      </c>
    </row>
    <row r="9" spans="1:7" ht="15" customHeight="1" x14ac:dyDescent="0.25">
      <c r="A9" t="s">
        <v>49</v>
      </c>
      <c r="B9" s="27" t="str">
        <f>'Base Case'!B18</f>
        <v>N/A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zoomScaleNormal="100" workbookViewId="0">
      <selection activeCell="B1" sqref="B1:G1048576"/>
    </sheetView>
  </sheetViews>
  <sheetFormatPr defaultColWidth="8.7109375" defaultRowHeight="15" x14ac:dyDescent="0.25"/>
  <cols>
    <col min="2" max="7" width="15.85546875" customWidth="1"/>
  </cols>
  <sheetData>
    <row r="1" spans="1:7" ht="15" customHeight="1" x14ac:dyDescent="0.25">
      <c r="A1" s="11" t="s">
        <v>51</v>
      </c>
    </row>
    <row r="3" spans="1:7" ht="15" customHeight="1" x14ac:dyDescent="0.25">
      <c r="A3" t="s">
        <v>31</v>
      </c>
      <c r="B3" t="s">
        <v>32</v>
      </c>
      <c r="C3" t="s">
        <v>33</v>
      </c>
      <c r="D3" t="s">
        <v>34</v>
      </c>
      <c r="E3" t="s">
        <v>35</v>
      </c>
      <c r="F3" t="s">
        <v>36</v>
      </c>
      <c r="G3" t="s">
        <v>37</v>
      </c>
    </row>
    <row r="5" spans="1:7" ht="15" customHeight="1" x14ac:dyDescent="0.25">
      <c r="A5" t="s">
        <v>38</v>
      </c>
      <c r="C5" s="7">
        <f>Assumptions!B5</f>
        <v>2000000</v>
      </c>
      <c r="D5" s="19">
        <f>C5*(1+Assumptions!B6*0.9)</f>
        <v>2144000</v>
      </c>
      <c r="E5" s="19">
        <f>D5*(1+Assumptions!B6*0.9)</f>
        <v>2298368</v>
      </c>
      <c r="F5" s="19">
        <f>E5*(1+Assumptions!B6*0.9)</f>
        <v>2463850.4960000003</v>
      </c>
      <c r="G5" s="19">
        <f>F5*(1+Assumptions!B6*0.9)</f>
        <v>2641247.7317120004</v>
      </c>
    </row>
    <row r="6" spans="1:7" ht="15" customHeight="1" x14ac:dyDescent="0.25">
      <c r="A6" t="s">
        <v>41</v>
      </c>
      <c r="B6" s="7">
        <f>Assumptions!B4</f>
        <v>-5000000</v>
      </c>
      <c r="C6" s="20">
        <f>C5*Assumptions!B7</f>
        <v>700000</v>
      </c>
      <c r="D6" s="20">
        <f>D5*Assumptions!B7</f>
        <v>750400</v>
      </c>
      <c r="E6" s="20">
        <f>E5*Assumptions!B7</f>
        <v>804428.79999999993</v>
      </c>
      <c r="F6" s="20">
        <f>F5*Assumptions!B7</f>
        <v>862347.6736000001</v>
      </c>
      <c r="G6" s="20">
        <f>G5*Assumptions!B7</f>
        <v>924436.70609920006</v>
      </c>
    </row>
    <row r="8" spans="1:7" ht="15" customHeight="1" x14ac:dyDescent="0.25">
      <c r="A8" t="s">
        <v>47</v>
      </c>
      <c r="B8" s="20">
        <f>NPV(Assumptions!B8,C6:G6)+B6</f>
        <v>-1976094.2837615423</v>
      </c>
    </row>
    <row r="9" spans="1:7" ht="15" customHeight="1" x14ac:dyDescent="0.25">
      <c r="A9" t="s">
        <v>48</v>
      </c>
      <c r="B9" s="26">
        <f>IRR(B6:G6)</f>
        <v>-6.4249336187852002E-2</v>
      </c>
    </row>
    <row r="10" spans="1:7" ht="15" customHeight="1" x14ac:dyDescent="0.25">
      <c r="A10" t="s">
        <v>49</v>
      </c>
      <c r="B10" s="28">
        <v>2.5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zoomScaleNormal="100" workbookViewId="0">
      <selection activeCell="B1" sqref="B1:G1048576"/>
    </sheetView>
  </sheetViews>
  <sheetFormatPr defaultColWidth="8.7109375" defaultRowHeight="15" x14ac:dyDescent="0.25"/>
  <cols>
    <col min="2" max="7" width="15.5703125" customWidth="1"/>
  </cols>
  <sheetData>
    <row r="1" spans="1:7" ht="15" customHeight="1" x14ac:dyDescent="0.25">
      <c r="A1" s="11" t="s">
        <v>52</v>
      </c>
    </row>
    <row r="3" spans="1:7" ht="15" customHeight="1" x14ac:dyDescent="0.25">
      <c r="A3" t="s">
        <v>31</v>
      </c>
      <c r="B3" t="s">
        <v>32</v>
      </c>
      <c r="C3" t="s">
        <v>33</v>
      </c>
      <c r="D3" t="s">
        <v>34</v>
      </c>
      <c r="E3" t="s">
        <v>35</v>
      </c>
      <c r="F3" t="s">
        <v>36</v>
      </c>
      <c r="G3" t="s">
        <v>37</v>
      </c>
    </row>
    <row r="5" spans="1:7" ht="15" customHeight="1" x14ac:dyDescent="0.25">
      <c r="A5" t="s">
        <v>38</v>
      </c>
      <c r="C5" s="7">
        <f>Assumptions!B5</f>
        <v>2000000</v>
      </c>
      <c r="D5" s="19">
        <f>C5*(1+Assumptions!B6*1.1)</f>
        <v>2176000</v>
      </c>
      <c r="E5" s="19">
        <f>D5*(1+Assumptions!B6*1.1)</f>
        <v>2367488</v>
      </c>
      <c r="F5" s="19">
        <f>E5*(1+Assumptions!B6*1.1)</f>
        <v>2575826.9440000001</v>
      </c>
      <c r="G5" s="19">
        <f>F5*(1+Assumptions!B6*1.1)</f>
        <v>2802499.7150720004</v>
      </c>
    </row>
    <row r="6" spans="1:7" ht="15" customHeight="1" x14ac:dyDescent="0.25">
      <c r="A6" t="s">
        <v>41</v>
      </c>
      <c r="B6" s="7">
        <f>Assumptions!B4</f>
        <v>-5000000</v>
      </c>
      <c r="C6" s="20">
        <f>C5*Assumptions!B7</f>
        <v>700000</v>
      </c>
      <c r="D6" s="20">
        <f>D5*Assumptions!B7</f>
        <v>761600</v>
      </c>
      <c r="E6" s="20">
        <f>E5*Assumptions!B7</f>
        <v>828620.79999999993</v>
      </c>
      <c r="F6" s="20">
        <f>F5*Assumptions!B7</f>
        <v>901539.43039999995</v>
      </c>
      <c r="G6" s="20">
        <f>G5*Assumptions!B7</f>
        <v>980874.90027520002</v>
      </c>
    </row>
    <row r="8" spans="1:7" ht="15" customHeight="1" x14ac:dyDescent="0.25">
      <c r="A8" t="s">
        <v>47</v>
      </c>
      <c r="B8" s="20">
        <f>NPV(Assumptions!B8,C6:G6)+B6</f>
        <v>-1886850.1023183968</v>
      </c>
    </row>
    <row r="9" spans="1:7" ht="15" customHeight="1" x14ac:dyDescent="0.25">
      <c r="A9" t="s">
        <v>48</v>
      </c>
      <c r="B9" s="26">
        <f>IRR(B6:G6)</f>
        <v>-5.4570571593001049E-2</v>
      </c>
    </row>
    <row r="10" spans="1:7" ht="15" customHeight="1" x14ac:dyDescent="0.25">
      <c r="A10" t="s">
        <v>49</v>
      </c>
      <c r="B10" s="28">
        <v>2.5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"/>
  <sheetViews>
    <sheetView zoomScaleNormal="100" workbookViewId="0">
      <selection activeCell="B1" sqref="B1:G1048576"/>
    </sheetView>
  </sheetViews>
  <sheetFormatPr defaultColWidth="8.7109375" defaultRowHeight="15" x14ac:dyDescent="0.25"/>
  <cols>
    <col min="2" max="7" width="14.5703125" customWidth="1"/>
  </cols>
  <sheetData>
    <row r="1" spans="1:7" ht="15" customHeight="1" x14ac:dyDescent="0.25">
      <c r="A1" s="11" t="s">
        <v>53</v>
      </c>
    </row>
    <row r="3" spans="1:7" ht="15" customHeight="1" x14ac:dyDescent="0.25">
      <c r="A3" t="s">
        <v>31</v>
      </c>
      <c r="B3" t="s">
        <v>32</v>
      </c>
      <c r="C3" t="s">
        <v>33</v>
      </c>
      <c r="D3" t="s">
        <v>34</v>
      </c>
      <c r="E3" t="s">
        <v>35</v>
      </c>
      <c r="F3" t="s">
        <v>36</v>
      </c>
      <c r="G3" t="s">
        <v>37</v>
      </c>
    </row>
    <row r="5" spans="1:7" ht="15" customHeight="1" x14ac:dyDescent="0.25">
      <c r="A5" t="s">
        <v>41</v>
      </c>
      <c r="B5" s="7">
        <f>Assumptions!B4</f>
        <v>-5000000</v>
      </c>
      <c r="C5" s="20">
        <f>'Base Case'!C7*Assumptions!B7*0.9</f>
        <v>630000</v>
      </c>
      <c r="D5" s="20">
        <f>'Base Case'!D7*Assumptions!B7*0.9</f>
        <v>680400</v>
      </c>
      <c r="E5" s="20">
        <f>'Base Case'!E7*Assumptions!B7*0.9</f>
        <v>734832</v>
      </c>
      <c r="F5" s="20">
        <f>'Base Case'!F7*Assumptions!B7*0.9</f>
        <v>793618.55999999994</v>
      </c>
      <c r="G5" s="20">
        <f>'Base Case'!G7*Assumptions!B7*0.9</f>
        <v>857108.04480000015</v>
      </c>
    </row>
    <row r="7" spans="1:7" ht="15" customHeight="1" x14ac:dyDescent="0.25">
      <c r="A7" t="s">
        <v>47</v>
      </c>
      <c r="B7" s="20">
        <f>NPV(Assumptions!B8,C5:G5)+B5</f>
        <v>-2238619.7038205294</v>
      </c>
    </row>
    <row r="8" spans="1:7" ht="15" customHeight="1" x14ac:dyDescent="0.25">
      <c r="A8" t="s">
        <v>48</v>
      </c>
      <c r="B8" s="26">
        <f>IRR(B5:G5)</f>
        <v>-8.8917220382737971E-2</v>
      </c>
    </row>
    <row r="9" spans="1:7" ht="15" customHeight="1" x14ac:dyDescent="0.25">
      <c r="A9" t="s">
        <v>49</v>
      </c>
      <c r="B9" s="28">
        <v>2.8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"/>
  <sheetViews>
    <sheetView zoomScaleNormal="100" workbookViewId="0">
      <selection activeCell="B1" sqref="B1:G1048576"/>
    </sheetView>
  </sheetViews>
  <sheetFormatPr defaultColWidth="8.7109375" defaultRowHeight="15" x14ac:dyDescent="0.25"/>
  <cols>
    <col min="2" max="7" width="17.7109375" customWidth="1"/>
  </cols>
  <sheetData>
    <row r="1" spans="1:7" ht="15" customHeight="1" x14ac:dyDescent="0.25">
      <c r="A1" s="11" t="s">
        <v>54</v>
      </c>
    </row>
    <row r="3" spans="1:7" ht="15" customHeight="1" x14ac:dyDescent="0.25">
      <c r="A3" t="s">
        <v>31</v>
      </c>
      <c r="B3" t="s">
        <v>32</v>
      </c>
      <c r="C3" t="s">
        <v>33</v>
      </c>
      <c r="D3" t="s">
        <v>34</v>
      </c>
      <c r="E3" t="s">
        <v>35</v>
      </c>
      <c r="F3" t="s">
        <v>36</v>
      </c>
      <c r="G3" t="s">
        <v>37</v>
      </c>
    </row>
    <row r="5" spans="1:7" ht="15" customHeight="1" x14ac:dyDescent="0.25">
      <c r="A5" t="s">
        <v>41</v>
      </c>
      <c r="B5" s="7">
        <f>Assumptions!B4</f>
        <v>-5000000</v>
      </c>
      <c r="C5" s="20">
        <f>'Base Case'!C7*Assumptions!B7*1.1</f>
        <v>770000.00000000012</v>
      </c>
      <c r="D5" s="20">
        <f>'Base Case'!D7*Assumptions!B7*1.1</f>
        <v>831600.00000000012</v>
      </c>
      <c r="E5" s="20">
        <f>'Base Case'!E7*Assumptions!B7*1.1</f>
        <v>898128.00000000012</v>
      </c>
      <c r="F5" s="20">
        <f>'Base Case'!F7*Assumptions!B7*1.1</f>
        <v>969978.24</v>
      </c>
      <c r="G5" s="20">
        <f>'Base Case'!G7*Assumptions!B7*1.1</f>
        <v>1047576.4992000002</v>
      </c>
    </row>
    <row r="7" spans="1:7" ht="15" customHeight="1" x14ac:dyDescent="0.25">
      <c r="A7" t="s">
        <v>47</v>
      </c>
      <c r="B7" s="20">
        <f>NPV(Assumptions!B8,C5:G5)+B5</f>
        <v>-1624979.6380028692</v>
      </c>
    </row>
    <row r="8" spans="1:7" ht="15" customHeight="1" x14ac:dyDescent="0.25">
      <c r="A8" t="s">
        <v>48</v>
      </c>
      <c r="B8" s="26">
        <f>IRR(B5:G5)</f>
        <v>-3.1373146956122921E-2</v>
      </c>
    </row>
    <row r="9" spans="1:7" ht="15" customHeight="1" x14ac:dyDescent="0.25">
      <c r="A9" t="s">
        <v>49</v>
      </c>
      <c r="B9" s="28">
        <v>2.2999999999999998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Dashboard</vt:lpstr>
      <vt:lpstr>Assumptions</vt:lpstr>
      <vt:lpstr>Base Case</vt:lpstr>
      <vt:lpstr>Scenario_InvDown</vt:lpstr>
      <vt:lpstr>Scenario_InvUp</vt:lpstr>
      <vt:lpstr>Scenario_RevGrDown</vt:lpstr>
      <vt:lpstr>Scenario_RevGrUp</vt:lpstr>
      <vt:lpstr>Scenario_MarginDown</vt:lpstr>
      <vt:lpstr>Scenario_MarginUp</vt:lpstr>
      <vt:lpstr>Scenario_WACCDown</vt:lpstr>
      <vt:lpstr>Scenario_WACCUp</vt:lpstr>
      <vt:lpstr>Scenario_TermGrDown</vt:lpstr>
      <vt:lpstr>Scenario_TermGrUp</vt:lpstr>
      <vt:lpstr>Sensitivity Summary</vt:lpstr>
      <vt:lpstr>Tornado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Schrenk, Lawrence</cp:lastModifiedBy>
  <cp:revision>2</cp:revision>
  <dcterms:created xsi:type="dcterms:W3CDTF">2025-10-26T16:56:38Z</dcterms:created>
  <dcterms:modified xsi:type="dcterms:W3CDTF">2025-10-26T17:04:29Z</dcterms:modified>
  <dc:language>en-US</dc:language>
</cp:coreProperties>
</file>