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Analysis" sheetId="1" state="visible" r:id="rId3"/>
    <sheet name="Sensitivity Analysis" sheetId="2" state="visible" r:id="rId4"/>
    <sheet name="Decision 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<sst xmlns="http://schemas.openxmlformats.org/spreadsheetml/2006/main" count="87" uniqueCount="74">
  <si>
    <t xml:space="preserve">CAPITAL BUDGETING - SCENARIO ANALYSIS</t>
  </si>
  <si>
    <t xml:space="preserve">PROJECT DETAILS</t>
  </si>
  <si>
    <t xml:space="preserve">SCENARIO COMPARISON</t>
  </si>
  <si>
    <t xml:space="preserve">Project Name:</t>
  </si>
  <si>
    <t xml:space="preserve">Manufacturing Equipment Upgrade</t>
  </si>
  <si>
    <t xml:space="preserve">Metric</t>
  </si>
  <si>
    <t xml:space="preserve">Base Case</t>
  </si>
  <si>
    <t xml:space="preserve">Best Case</t>
  </si>
  <si>
    <t xml:space="preserve">Worst Case</t>
  </si>
  <si>
    <t xml:space="preserve">Analysis Date:</t>
  </si>
  <si>
    <t xml:space="preserve">October 2025</t>
  </si>
  <si>
    <t xml:space="preserve">NPV</t>
  </si>
  <si>
    <t xml:space="preserve">Project Life:</t>
  </si>
  <si>
    <t xml:space="preserve">years</t>
  </si>
  <si>
    <t xml:space="preserve">IRR</t>
  </si>
  <si>
    <t xml:space="preserve">Profitability Index</t>
  </si>
  <si>
    <t xml:space="preserve">KEY ASSUMPTIONS</t>
  </si>
  <si>
    <t xml:space="preserve">Note: Change 'SELECT SCENARIO' cell (B22) to see different scenarios</t>
  </si>
  <si>
    <t xml:space="preserve">Assumption</t>
  </si>
  <si>
    <t xml:space="preserve">Units</t>
  </si>
  <si>
    <t xml:space="preserve">Initial Investment</t>
  </si>
  <si>
    <t xml:space="preserve">$</t>
  </si>
  <si>
    <t xml:space="preserve">Annual Revenue</t>
  </si>
  <si>
    <t xml:space="preserve">Revenue Growth Rate</t>
  </si>
  <si>
    <t xml:space="preserve">%</t>
  </si>
  <si>
    <t xml:space="preserve">Operating Costs (% of Revenue)</t>
  </si>
  <si>
    <t xml:space="preserve">Tax Rate</t>
  </si>
  <si>
    <t xml:space="preserve">Discount Rate (WACC)</t>
  </si>
  <si>
    <t xml:space="preserve">Terminal Value Growth</t>
  </si>
  <si>
    <t xml:space="preserve">Working Capital (% of Revenue)</t>
  </si>
  <si>
    <t xml:space="preserve">Salvage Value</t>
  </si>
  <si>
    <t xml:space="preserve">SELECT SCENARIO FOR DETAILED ANALYSIS:</t>
  </si>
  <si>
    <t xml:space="preserve">CASH FLOW PROJECTIONS</t>
  </si>
  <si>
    <t xml:space="preserve">Year</t>
  </si>
  <si>
    <t xml:space="preserve">0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</si>
  <si>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</si>
  <si>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</si>
  <si>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</si>
  <si>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</si>
  <si>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</si>
  <si>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Revenue</t>
  </si>
  <si>
    <t xml:space="preserve">Operating Costs</t>
  </si>
  <si>
    <t xml:space="preserve">EBITDA</t>
  </si>
  <si>
    <t xml:space="preserve">Taxes</t>
  </si>
  <si>
    <t xml:space="preserve">NOPAT (Net Operating Profit After Tax)</t>
  </si>
  <si>
    <t xml:space="preserve">Change in Working Capital</t>
  </si>
  <si>
    <t xml:space="preserve">Capital Expenditure</t>
  </si>
  <si>
    <t xml:space="preserve">FREE CASH FLOW</t>
  </si>
  <si>
    <t xml:space="preserve">Discount Factor</t>
  </si>
  <si>
    <t xml:space="preserve">Present Value</t>
  </si>
  <si>
    <t xml:space="preserve">VALUATION METRICS</t>
  </si>
  <si>
    <t xml:space="preserve">Net Present Value (NPV)</t>
  </si>
  <si>
    <t xml:space="preserve">Internal Rate of Return (IRR)</t>
  </si>
  <si>
    <t xml:space="preserve">Payback Period (Years)</t>
  </si>
  <si>
    <t xml:space="preserve">See calculation below</t>
  </si>
  <si>
    <t xml:space="preserve">Cumulative Cash Flow</t>
  </si>
  <si>
    <t xml:space="preserve">SENSITIVITY ANALYSIS - NPV</t>
  </si>
  <si>
    <t xml:space="preserve">Base Case NPV:</t>
  </si>
  <si>
    <t xml:space="preserve">NPV SENSITIVITY TO DISCOUNT RATE AND REVENUE GROWTH</t>
  </si>
  <si>
    <t xml:space="preserve">Revenue Growth →</t>
  </si>
  <si>
    <t xml:space="preserve">Discount Rate ↓</t>
  </si>
  <si>
    <t xml:space="preserve">Interpretation: Green values indicate positive NPV (accept project)</t>
  </si>
  <si>
    <t xml:space="preserve">Red values indicate negative NPV (reject project)</t>
  </si>
  <si>
    <t xml:space="preserve">INVESTMENT DECISION SUMMARY</t>
  </si>
  <si>
    <t xml:space="preserve">KEY FINDINGS</t>
  </si>
  <si>
    <t xml:space="preserve">Selected Scenario:</t>
  </si>
  <si>
    <t xml:space="preserve">Net Present Value (NPV):</t>
  </si>
  <si>
    <t xml:space="preserve">Internal Rate of Return (IRR):</t>
  </si>
  <si>
    <t xml:space="preserve">Profitability Index:</t>
  </si>
  <si>
    <t xml:space="preserve">DECISION CRITERIA</t>
  </si>
  <si>
    <t xml:space="preserve">NPV &gt; 0?</t>
  </si>
  <si>
    <t xml:space="preserve">IRR &gt; WACC?</t>
  </si>
  <si>
    <t xml:space="preserve">Profitability Index &gt; 1?</t>
  </si>
  <si>
    <t xml:space="preserve">FINAL RECOMMENDATION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</si>
</sst>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;&quot;($&quot;#,##0\);\-"/>
    <numFmt numFmtId="166" formatCode="0.0%"/>
    <numFmt numFmtId="167" formatCode="0.00"/>
    <numFmt numFmtId="168" formatCode="\$#,##0"/>
    <numFmt numFmtId="169" formatCode="0.00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u val="single"/>
      <sz val="11"/>
      <name val="Cambria"/>
      <family val="0"/>
      <charset val="1"/>
    </font>
    <font>
      <b val="true"/>
      <u val="single"/>
      <sz val="12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i val="true"/>
      <sz val="9"/>
      <name val="Cambria"/>
      <family val="0"/>
      <charset val="1"/>
    </font>
    <font>
      <i val="true"/>
      <sz val="11"/>
      <name val="Cambria"/>
      <family val="0"/>
      <charset val="1"/>
    </font>
    <font>
      <sz val="11"/>
      <color rgb="FF008000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b val="true"/>
      <sz val="14"/>
      <color rgb="FF0000FF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7" min="2" style="0" width="15"/>
    <col collapsed="false" customWidth="true" hidden="false" outlineLevel="0" max="10" min="10" style="0" width="25"/>
    <col collapsed="false" customWidth="true" hidden="false" outlineLevel="0" max="13" min="11" style="0" width="15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2" t="s">
        <v>1</v>
      </c>
      <c r="J3" s="3" t="s">
        <v>2</v>
      </c>
    </row>
    <row r="4" customFormat="false" ht="15" hidden="false" customHeight="false" outlineLevel="0" collapsed="false">
      <c r="A4" s="0" t="s">
        <v>3</v>
      </c>
      <c r="B4" s="0" t="s">
        <v>4</v>
      </c>
      <c r="J4" s="4" t="s">
        <v>5</v>
      </c>
      <c r="K4" s="4" t="s">
        <v>6</v>
      </c>
      <c r="L4" s="4" t="s">
        <v>7</v>
      </c>
      <c r="M4" s="4" t="s">
        <v>8</v>
      </c>
    </row>
    <row r="5" customFormat="false" ht="15" hidden="false" customHeight="false" outlineLevel="0" collapsed="false">
      <c r="A5" s="0" t="s">
        <v>9</v>
      </c>
      <c r="B5" s="0" t="s">
        <v>10</v>
      </c>
      <c r="J5" s="0" t="s">
        <v>11</v>
      </c>
      <c r="K5" s="5" t="n">
        <f aca="true">IF(B22="Base Case",B41,OFFSET(B41,0,0))</f>
        <v>-99055.4680660164</v>
      </c>
    </row>
    <row r="6" customFormat="false" ht="15" hidden="false" customHeight="false" outlineLevel="0" collapsed="false">
      <c r="A6" s="0" t="s">
        <v>12</v>
      </c>
      <c r="B6" s="6" t="n">
        <v>5</v>
      </c>
      <c r="C6" s="7" t="s">
        <v>13</v>
      </c>
      <c r="J6" s="7" t="s">
        <v>14</v>
      </c>
      <c r="K6" s="8" t="n">
        <f aca="true">IF(B22="Base Case",B42,OFFSET(B42,0,0))</f>
        <v>0.0272182142888625</v>
      </c>
    </row>
    <row r="7" customFormat="false" ht="15" hidden="false" customHeight="false" outlineLevel="0" collapsed="false">
      <c r="J7" s="0" t="s">
        <v>15</v>
      </c>
      <c r="K7" s="9" t="n">
        <f aca="true">IF(B22="Base Case",B43,OFFSET(B43,0,0))</f>
        <v>0.801889063867967</v>
      </c>
    </row>
    <row r="9" customFormat="false" ht="15" hidden="false" customHeight="false" outlineLevel="0" collapsed="false">
      <c r="A9" s="2" t="s">
        <v>16</v>
      </c>
      <c r="J9" s="10" t="s">
        <v>17</v>
      </c>
      <c r="K9" s="10"/>
      <c r="L9" s="10"/>
      <c r="M9" s="10"/>
    </row>
    <row r="10" customFormat="false" ht="15" hidden="false" customHeight="false" outlineLevel="0" collapsed="false">
      <c r="A10" s="4" t="s">
        <v>18</v>
      </c>
      <c r="B10" s="4" t="s">
        <v>6</v>
      </c>
      <c r="C10" s="4" t="s">
        <v>7</v>
      </c>
      <c r="D10" s="4" t="s">
        <v>8</v>
      </c>
      <c r="E10" s="4" t="s">
        <v>19</v>
      </c>
    </row>
    <row r="11" customFormat="false" ht="15" hidden="false" customHeight="false" outlineLevel="0" collapsed="false">
      <c r="A11" s="0" t="s">
        <v>20</v>
      </c>
      <c r="B11" s="11" t="n">
        <v>500000</v>
      </c>
      <c r="C11" s="11" t="n">
        <v>450000</v>
      </c>
      <c r="D11" s="11" t="n">
        <v>550000</v>
      </c>
      <c r="E11" s="7" t="s">
        <v>21</v>
      </c>
    </row>
    <row r="12" customFormat="false" ht="15" hidden="false" customHeight="false" outlineLevel="0" collapsed="false">
      <c r="A12" s="0" t="s">
        <v>22</v>
      </c>
      <c r="B12" s="11" t="n">
        <v>200000</v>
      </c>
      <c r="C12" s="11" t="n">
        <v>250000</v>
      </c>
      <c r="D12" s="11" t="n">
        <v>150000</v>
      </c>
      <c r="E12" s="7" t="s">
        <v>21</v>
      </c>
    </row>
    <row r="13" customFormat="false" ht="15" hidden="false" customHeight="false" outlineLevel="0" collapsed="false">
      <c r="A13" s="0" t="s">
        <v>23</v>
      </c>
      <c r="B13" s="12" t="n">
        <v>0.05</v>
      </c>
      <c r="C13" s="12" t="n">
        <v>0.08</v>
      </c>
      <c r="D13" s="12" t="n">
        <v>0.02</v>
      </c>
      <c r="E13" s="7" t="s">
        <v>24</v>
      </c>
    </row>
    <row r="14" customFormat="false" ht="15" hidden="false" customHeight="false" outlineLevel="0" collapsed="false">
      <c r="A14" s="0" t="s">
        <v>25</v>
      </c>
      <c r="B14" s="12" t="n">
        <v>0.4</v>
      </c>
      <c r="C14" s="12" t="n">
        <v>0.35</v>
      </c>
      <c r="D14" s="12" t="n">
        <v>0.5</v>
      </c>
      <c r="E14" s="7" t="s">
        <v>24</v>
      </c>
    </row>
    <row r="15" customFormat="false" ht="15" hidden="false" customHeight="false" outlineLevel="0" collapsed="false">
      <c r="A15" s="0" t="s">
        <v>26</v>
      </c>
      <c r="B15" s="12" t="n">
        <v>0.25</v>
      </c>
      <c r="C15" s="12" t="n">
        <v>0.25</v>
      </c>
      <c r="D15" s="12" t="n">
        <v>0.25</v>
      </c>
      <c r="E15" s="7" t="s">
        <v>24</v>
      </c>
    </row>
    <row r="16" customFormat="false" ht="15" hidden="false" customHeight="false" outlineLevel="0" collapsed="false">
      <c r="A16" s="0" t="s">
        <v>27</v>
      </c>
      <c r="B16" s="12" t="n">
        <v>0.1</v>
      </c>
      <c r="C16" s="12" t="n">
        <v>0.08</v>
      </c>
      <c r="D16" s="12" t="n">
        <v>0.12</v>
      </c>
      <c r="E16" s="7" t="s">
        <v>24</v>
      </c>
    </row>
    <row r="17" customFormat="false" ht="15" hidden="false" customHeight="false" outlineLevel="0" collapsed="false">
      <c r="A17" s="0" t="s">
        <v>28</v>
      </c>
      <c r="B17" s="6" t="n">
        <v>0.02</v>
      </c>
      <c r="C17" s="6" t="n">
        <v>0.03</v>
      </c>
      <c r="D17" s="6" t="n">
        <v>0.01</v>
      </c>
      <c r="E17" s="7" t="s">
        <v>24</v>
      </c>
    </row>
    <row r="18" customFormat="false" ht="15" hidden="false" customHeight="false" outlineLevel="0" collapsed="false">
      <c r="A18" s="0" t="s">
        <v>29</v>
      </c>
      <c r="B18" s="6" t="n">
        <v>0.1</v>
      </c>
      <c r="C18" s="6" t="n">
        <v>0.08</v>
      </c>
      <c r="D18" s="6" t="n">
        <v>0.12</v>
      </c>
      <c r="E18" s="7" t="s">
        <v>24</v>
      </c>
    </row>
    <row r="19" customFormat="false" ht="15" hidden="false" customHeight="false" outlineLevel="0" collapsed="false">
      <c r="A19" s="0" t="s">
        <v>30</v>
      </c>
      <c r="B19" s="11" t="n">
        <v>50000</v>
      </c>
      <c r="C19" s="11" t="n">
        <v>75000</v>
      </c>
      <c r="D19" s="11" t="n">
        <v>25000</v>
      </c>
      <c r="E19" s="7" t="s">
        <v>21</v>
      </c>
    </row>
    <row r="22" customFormat="false" ht="15" hidden="false" customHeight="false" outlineLevel="0" collapsed="false">
      <c r="A22" s="13" t="s">
        <v>31</v>
      </c>
      <c r="B22" s="14" t="s">
        <v>6</v>
      </c>
    </row>
    <row r="25" customFormat="false" ht="15" hidden="false" customHeight="false" outlineLevel="0" collapsed="false">
      <c r="A25" s="3" t="s">
        <v>32</v>
      </c>
    </row>
    <row r="26" customFormat="false" ht="15" hidden="false" customHeight="false" outlineLevel="0" collapsed="false">
      <c r="A26" s="13" t="s">
        <v>33</v>
      </c>
      <c r="B26" s="15" t="s">
        <v>34</v>
      </c>
      <c r="C26" s="15" t="s">
        <v>35</v>
      </c>
      <c r="D26" s="15" t="s">
        <v>36</v>
      </c>
      <c r="E26" s="15" t="s">
        <v>37</v>
      </c>
      <c r="F26" s="15" t="s">
        <v>38</v>
      </c>
      <c r="G26" s="15" t="s">
        <v>39</v>
      </c>
    </row>
    <row r="27" customFormat="false" ht="15" hidden="false" customHeight="false" outlineLevel="0" collapsed="false">
      <c r="A27" s="0" t="s">
        <v>40</v>
      </c>
      <c r="B27" s="5" t="n">
        <v>0</v>
      </c>
      <c r="C27" s="5" t="n">
        <f aca="false">IF(B22="Base Case",B$12*(1+B$13)^(1),IF(B22="Best Case",C$12*(1+C$13)^(1),D$12*(1+D$13)^(1)))</f>
        <v>210000</v>
      </c>
      <c r="D27" s="5" t="n">
        <f aca="false">IF(B22="Base Case",B$12*(1+B$13)^(2),IF(B22="Best Case",C$12*(1+C$13)^(2),D$12*(1+D$13)^(2)))</f>
        <v>220500</v>
      </c>
      <c r="E27" s="5" t="n">
        <f aca="false">IF(B22="Base Case",B$12*(1+B$13)^(3),IF(B22="Best Case",C$12*(1+C$13)^(3),D$12*(1+D$13)^(3)))</f>
        <v>231525</v>
      </c>
      <c r="F27" s="5" t="n">
        <f aca="false">IF(B22="Base Case",B$12*(1+B$13)^(4),IF(B22="Best Case",C$12*(1+C$13)^(4),D$12*(1+D$13)^(4)))</f>
        <v>243101.25</v>
      </c>
      <c r="G27" s="5" t="n">
        <f aca="false">IF(B22="Base Case",B$12*(1+B$13)^(5),IF(B22="Best Case",C$12*(1+C$13)^(5),D$12*(1+D$13)^(5)))</f>
        <v>255256.3125</v>
      </c>
    </row>
    <row r="28" customFormat="false" ht="15" hidden="false" customHeight="false" outlineLevel="0" collapsed="false">
      <c r="A28" s="0" t="s">
        <v>41</v>
      </c>
      <c r="B28" s="5" t="n">
        <v>0</v>
      </c>
      <c r="C28" s="5" t="n">
        <f aca="false">-C27*IF(B22="Base Case",B$14,IF(B22="Best Case",C$14,D$14))</f>
        <v>-84000</v>
      </c>
      <c r="D28" s="5" t="n">
        <f aca="false">-D27*IF(B22="Base Case",B$14,IF(B22="Best Case",C$14,D$14))</f>
        <v>-88200</v>
      </c>
      <c r="E28" s="5" t="n">
        <f aca="false">-E27*IF(B22="Base Case",B$14,IF(B22="Best Case",C$14,D$14))</f>
        <v>-92610</v>
      </c>
      <c r="F28" s="5" t="n">
        <f aca="false">-F27*IF(B22="Base Case",B$14,IF(B22="Best Case",C$14,D$14))</f>
        <v>-97240.5</v>
      </c>
      <c r="G28" s="5" t="n">
        <f aca="false">-G27*IF(B22="Base Case",B$14,IF(B22="Best Case",C$14,D$14))</f>
        <v>-102102.525</v>
      </c>
    </row>
    <row r="29" customFormat="false" ht="15" hidden="false" customHeight="false" outlineLevel="0" collapsed="false">
      <c r="A29" s="0" t="s">
        <v>42</v>
      </c>
      <c r="B29" s="5" t="n">
        <v>0</v>
      </c>
      <c r="C29" s="5" t="n">
        <f aca="false">C27+C28</f>
        <v>126000</v>
      </c>
      <c r="D29" s="5" t="n">
        <f aca="false">D27+D28</f>
        <v>132300</v>
      </c>
      <c r="E29" s="5" t="n">
        <f aca="false">E27+E28</f>
        <v>138915</v>
      </c>
      <c r="F29" s="5" t="n">
        <f aca="false">F27+F28</f>
        <v>145860.75</v>
      </c>
      <c r="G29" s="5" t="n">
        <f aca="false">G27+G28</f>
        <v>153153.7875</v>
      </c>
    </row>
    <row r="30" customFormat="false" ht="15" hidden="false" customHeight="false" outlineLevel="0" collapsed="false">
      <c r="A30" s="0" t="s">
        <v>43</v>
      </c>
      <c r="B30" s="5" t="n">
        <v>0</v>
      </c>
      <c r="C30" s="5" t="n">
        <f aca="false">-C29*IF(B22="Base Case",B$15,IF(B22="Best Case",C$15,D$15))</f>
        <v>-31500</v>
      </c>
      <c r="D30" s="5" t="n">
        <f aca="false">-D29*IF(B22="Base Case",B$15,IF(B22="Best Case",C$15,D$15))</f>
        <v>-33075</v>
      </c>
      <c r="E30" s="5" t="n">
        <f aca="false">-E29*IF(B22="Base Case",B$15,IF(B22="Best Case",C$15,D$15))</f>
        <v>-34728.75</v>
      </c>
      <c r="F30" s="5" t="n">
        <f aca="false">-F29*IF(B22="Base Case",B$15,IF(B22="Best Case",C$15,D$15))</f>
        <v>-36465.1875</v>
      </c>
      <c r="G30" s="5" t="n">
        <f aca="false">-G29*IF(B22="Base Case",B$15,IF(B22="Best Case",C$15,D$15))</f>
        <v>-38288.446875</v>
      </c>
    </row>
    <row r="31" customFormat="false" ht="15" hidden="false" customHeight="false" outlineLevel="0" collapsed="false">
      <c r="A31" s="0" t="s">
        <v>44</v>
      </c>
      <c r="B31" s="5" t="n">
        <v>0</v>
      </c>
      <c r="C31" s="5" t="n">
        <f aca="false">C29+C30</f>
        <v>94500</v>
      </c>
      <c r="D31" s="5" t="n">
        <f aca="false">D29+D30</f>
        <v>99225</v>
      </c>
      <c r="E31" s="5" t="n">
        <f aca="false">E29+E30</f>
        <v>104186.25</v>
      </c>
      <c r="F31" s="5" t="n">
        <f aca="false">F29+F30</f>
        <v>109395.5625</v>
      </c>
      <c r="G31" s="5" t="n">
        <f aca="false">G29+G30</f>
        <v>114865.340625</v>
      </c>
    </row>
    <row r="32" customFormat="false" ht="15" hidden="false" customHeight="false" outlineLevel="0" collapsed="false">
      <c r="A32" s="0" t="s">
        <v>45</v>
      </c>
      <c r="B32" s="5" t="n">
        <v>0</v>
      </c>
      <c r="C32" s="5" t="n">
        <f aca="false">-C27*IF(B22="Base Case",B$18,IF(B22="Best Case",C$18,D$18))</f>
        <v>-21000</v>
      </c>
      <c r="D32" s="5" t="n">
        <f aca="false">-(D27-C27)*IF(B22="Base Case",B$18,IF(B22="Best Case",C$18,D$18))</f>
        <v>-1050</v>
      </c>
      <c r="E32" s="5" t="n">
        <f aca="false">-(E27-D27)*IF(B22="Base Case",B$18,IF(B22="Best Case",C$18,D$18))</f>
        <v>-1102.5</v>
      </c>
      <c r="F32" s="5" t="n">
        <f aca="false">-(F27-E27)*IF(B22="Base Case",B$18,IF(B22="Best Case",C$18,D$18))</f>
        <v>-1157.625</v>
      </c>
      <c r="G32" s="5" t="n">
        <f aca="false">-(G27-F27)*IF(B22="Base Case",B$18,IF(B22="Best Case",C$18,D$18))</f>
        <v>-1215.50625</v>
      </c>
    </row>
    <row r="33" customFormat="false" ht="15" hidden="false" customHeight="false" outlineLevel="0" collapsed="false">
      <c r="A33" s="0" t="s">
        <v>46</v>
      </c>
      <c r="B33" s="5" t="n">
        <f aca="false">-IF(B22="Base Case",B$11,IF(B22="Best Case",C$11,D$11))</f>
        <v>-500000</v>
      </c>
      <c r="C33" s="5" t="n">
        <v>0</v>
      </c>
      <c r="D33" s="5" t="n">
        <v>0</v>
      </c>
      <c r="E33" s="5" t="n">
        <v>0</v>
      </c>
      <c r="F33" s="5" t="n">
        <v>0</v>
      </c>
      <c r="G33" s="5" t="n">
        <v>0</v>
      </c>
    </row>
    <row r="34" customFormat="false" ht="15" hidden="false" customHeight="false" outlineLevel="0" collapsed="false">
      <c r="A34" s="0" t="s">
        <v>30</v>
      </c>
      <c r="B34" s="5" t="n">
        <v>0</v>
      </c>
      <c r="C34" s="5" t="n">
        <v>0</v>
      </c>
      <c r="D34" s="5" t="n">
        <v>0</v>
      </c>
      <c r="E34" s="5" t="n">
        <v>0</v>
      </c>
      <c r="F34" s="5" t="n">
        <v>0</v>
      </c>
      <c r="G34" s="5" t="n">
        <f aca="false">IF(B22="Base Case",B$19,IF(B22="Best Case",C$19,D$19))</f>
        <v>50000</v>
      </c>
    </row>
    <row r="35" customFormat="false" ht="15" hidden="false" customHeight="false" outlineLevel="0" collapsed="false">
      <c r="A35" s="13" t="s">
        <v>47</v>
      </c>
      <c r="B35" s="16" t="n">
        <f aca="false">B31+B32+B33+B34</f>
        <v>-500000</v>
      </c>
      <c r="C35" s="16" t="n">
        <f aca="false">C31+C32+C33+C34</f>
        <v>73500</v>
      </c>
      <c r="D35" s="16" t="n">
        <f aca="false">D31+D32+D33+D34</f>
        <v>98175</v>
      </c>
      <c r="E35" s="16" t="n">
        <f aca="false">E31+E32+E33+E34</f>
        <v>103083.75</v>
      </c>
      <c r="F35" s="16" t="n">
        <f aca="false">F31+F32+F33+F34</f>
        <v>108237.9375</v>
      </c>
      <c r="G35" s="16" t="n">
        <f aca="false">G31+G32+G33+G34</f>
        <v>163649.834375</v>
      </c>
    </row>
    <row r="36" customFormat="false" ht="15" hidden="false" customHeight="false" outlineLevel="0" collapsed="false">
      <c r="A36" s="0" t="s">
        <v>48</v>
      </c>
      <c r="B36" s="17" t="n">
        <f aca="false">1/(1+IF(B22="Base Case",B$16,IF(B22="Best Case",C$16,D$16)))^(0)</f>
        <v>1</v>
      </c>
      <c r="C36" s="17" t="n">
        <f aca="false">1/(1+IF(B22="Base Case",B$16,IF(B22="Best Case",C$16,D$16)))^(1)</f>
        <v>0.909090909090909</v>
      </c>
      <c r="D36" s="17" t="n">
        <f aca="false">1/(1+IF(B22="Base Case",B$16,IF(B22="Best Case",C$16,D$16)))^(2)</f>
        <v>0.826446280991735</v>
      </c>
      <c r="E36" s="17" t="n">
        <f aca="false">1/(1+IF(B22="Base Case",B$16,IF(B22="Best Case",C$16,D$16)))^(3)</f>
        <v>0.751314800901578</v>
      </c>
      <c r="F36" s="17" t="n">
        <f aca="false">1/(1+IF(B22="Base Case",B$16,IF(B22="Best Case",C$16,D$16)))^(4)</f>
        <v>0.683013455365071</v>
      </c>
      <c r="G36" s="17" t="n">
        <f aca="false">1/(1+IF(B22="Base Case",B$16,IF(B22="Best Case",C$16,D$16)))^(5)</f>
        <v>0.620921323059155</v>
      </c>
    </row>
    <row r="37" customFormat="false" ht="15" hidden="false" customHeight="false" outlineLevel="0" collapsed="false">
      <c r="A37" s="0" t="s">
        <v>49</v>
      </c>
      <c r="B37" s="5" t="n">
        <f aca="false">B35*B36</f>
        <v>-500000</v>
      </c>
      <c r="C37" s="5" t="n">
        <f aca="false">C35*C36</f>
        <v>66818.1818181818</v>
      </c>
      <c r="D37" s="5" t="n">
        <f aca="false">D35*D36</f>
        <v>81136.3636363636</v>
      </c>
      <c r="E37" s="5" t="n">
        <f aca="false">E35*E36</f>
        <v>77448.347107438</v>
      </c>
      <c r="F37" s="5" t="n">
        <f aca="false">F35*F36</f>
        <v>73927.9676934636</v>
      </c>
      <c r="G37" s="5" t="n">
        <f aca="false">G35*G36</f>
        <v>101613.671678537</v>
      </c>
    </row>
    <row r="40" customFormat="false" ht="15" hidden="false" customHeight="false" outlineLevel="0" collapsed="false">
      <c r="A40" s="3" t="s">
        <v>50</v>
      </c>
    </row>
    <row r="41" customFormat="false" ht="15" hidden="false" customHeight="false" outlineLevel="0" collapsed="false">
      <c r="A41" s="0" t="s">
        <v>51</v>
      </c>
      <c r="B41" s="16" t="n">
        <f aca="false">SUM(B37:G37)</f>
        <v>-99055.4680660164</v>
      </c>
    </row>
    <row r="42" customFormat="false" ht="15" hidden="false" customHeight="false" outlineLevel="0" collapsed="false">
      <c r="A42" s="0" t="s">
        <v>52</v>
      </c>
      <c r="B42" s="18" t="n">
        <f aca="false">IRR(B35:G35)</f>
        <v>0.0272182142888625</v>
      </c>
    </row>
    <row r="43" customFormat="false" ht="15" hidden="false" customHeight="false" outlineLevel="0" collapsed="false">
      <c r="A43" s="0" t="s">
        <v>15</v>
      </c>
      <c r="B43" s="19" t="n">
        <f aca="false">(SUM(C37:G37))/(-B37)</f>
        <v>0.801889063867967</v>
      </c>
    </row>
    <row r="44" customFormat="false" ht="15" hidden="false" customHeight="false" outlineLevel="0" collapsed="false">
      <c r="A44" s="0" t="s">
        <v>53</v>
      </c>
      <c r="B44" s="20" t="s">
        <v>54</v>
      </c>
    </row>
    <row r="46" customFormat="false" ht="15" hidden="false" customHeight="false" outlineLevel="0" collapsed="false">
      <c r="A46" s="0" t="s">
        <v>55</v>
      </c>
      <c r="B46" s="5" t="n">
        <f aca="false">B35</f>
        <v>-500000</v>
      </c>
      <c r="C46" s="5" t="n">
        <f aca="false">B46+C35</f>
        <v>-426500</v>
      </c>
      <c r="D46" s="5" t="n">
        <f aca="false">C46+D35</f>
        <v>-328325</v>
      </c>
      <c r="E46" s="5" t="n">
        <f aca="false">D46+E35</f>
        <v>-225241.25</v>
      </c>
      <c r="F46" s="5" t="n">
        <f aca="false">E46+F35</f>
        <v>-117003.3125</v>
      </c>
      <c r="G46" s="5" t="n">
        <f aca="false">F46+G35</f>
        <v>46646.5218750001</v>
      </c>
    </row>
  </sheetData>
  <mergeCells count="2">
    <mergeCell ref="A1:H1"/>
    <mergeCell ref="J9:M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6" min="2" style="0" width="15"/>
  </cols>
  <sheetData>
    <row r="1" customFormat="false" ht="17.35" hidden="false" customHeight="false" outlineLevel="0" collapsed="false">
      <c r="A1" s="1" t="s">
        <v>56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0" t="s">
        <v>57</v>
      </c>
      <c r="B3" s="21" t="n">
        <f aca="false">'Scenario Analysis'!B41</f>
        <v>-99055.4680660164</v>
      </c>
    </row>
    <row r="5" customFormat="false" ht="15" hidden="false" customHeight="false" outlineLevel="0" collapsed="false">
      <c r="A5" s="2" t="s">
        <v>58</v>
      </c>
    </row>
    <row r="7" customFormat="false" ht="15" hidden="false" customHeight="false" outlineLevel="0" collapsed="false">
      <c r="A7" s="0" t="s">
        <v>59</v>
      </c>
      <c r="B7" s="22" t="n">
        <v>0</v>
      </c>
      <c r="C7" s="22" t="n">
        <v>0.03</v>
      </c>
      <c r="D7" s="22" t="n">
        <v>0.05</v>
      </c>
      <c r="E7" s="22" t="n">
        <v>0.07</v>
      </c>
      <c r="F7" s="22" t="n">
        <v>0.1</v>
      </c>
    </row>
    <row r="8" customFormat="false" ht="15" hidden="false" customHeight="false" outlineLevel="0" collapsed="false">
      <c r="A8" s="13" t="s">
        <v>60</v>
      </c>
    </row>
    <row r="9" customFormat="false" ht="15" hidden="false" customHeight="false" outlineLevel="0" collapsed="false">
      <c r="A9" s="22" t="n">
        <v>0.06</v>
      </c>
      <c r="B9" s="5" t="n">
        <f aca="false">-'Scenario Analysis'!B$11+('Scenario Analysis'!B$12*(1+B$7)^1*(1-'Scenario Analysis'!B$14)*(1-'Scenario Analysis'!B$15))/((1+$A9)^1)+('Scenario Analysis'!B$12*(1+B$7)^2*(1-'Scenario Analysis'!B$14)*(1-'Scenario Analysis'!B$15))/((1+$A9)^2)+('Scenario Analysis'!B$12*(1+B$7)^3*(1-'Scenario Analysis'!B$14)*(1-'Scenario Analysis'!B$15))/((1+$A9)^3)+('Scenario Analysis'!B$12*(1+B$7)^4*(1-'Scenario Analysis'!B$14)*(1-'Scenario Analysis'!B$15))/((1+$A9)^4)+('Scenario Analysis'!B$12*(1+B$7)^5*(1-'Scenario Analysis'!B$14)*(1-'Scenario Analysis'!B$15))/((1+$A9)^5)+'Scenario Analysis'!B$19/((1+$A9)^5)</f>
        <v>-83524.3506557829</v>
      </c>
      <c r="C9" s="5" t="n">
        <f aca="false">-'Scenario Analysis'!B$11+('Scenario Analysis'!B$12*(1+C$7)^1*(1-'Scenario Analysis'!B$14)*(1-'Scenario Analysis'!B$15))/((1+$A9)^1)+('Scenario Analysis'!B$12*(1+C$7)^2*(1-'Scenario Analysis'!B$14)*(1-'Scenario Analysis'!B$15))/((1+$A9)^2)+('Scenario Analysis'!B$12*(1+C$7)^3*(1-'Scenario Analysis'!B$14)*(1-'Scenario Analysis'!B$15))/((1+$A9)^3)+('Scenario Analysis'!B$12*(1+C$7)^4*(1-'Scenario Analysis'!B$14)*(1-'Scenario Analysis'!B$15))/((1+$A9)^4)+('Scenario Analysis'!B$12*(1+C$7)^5*(1-'Scenario Analysis'!B$14)*(1-'Scenario Analysis'!B$15))/((1+$A9)^5)+'Scenario Analysis'!B$19/((1+$A9)^5)</f>
        <v>-49433.1035890373</v>
      </c>
      <c r="D9" s="5" t="n">
        <f aca="false">-'Scenario Analysis'!B$11+('Scenario Analysis'!B$12*(1+D$7)^1*(1-'Scenario Analysis'!B$14)*(1-'Scenario Analysis'!B$15))/((1+$A9)^1)+('Scenario Analysis'!B$12*(1+D$7)^2*(1-'Scenario Analysis'!B$14)*(1-'Scenario Analysis'!B$15))/((1+$A9)^2)+('Scenario Analysis'!B$12*(1+D$7)^3*(1-'Scenario Analysis'!B$14)*(1-'Scenario Analysis'!B$15))/((1+$A9)^3)+('Scenario Analysis'!B$12*(1+D$7)^4*(1-'Scenario Analysis'!B$14)*(1-'Scenario Analysis'!B$15))/((1+$A9)^4)+('Scenario Analysis'!B$12*(1+D$7)^5*(1-'Scenario Analysis'!B$14)*(1-'Scenario Analysis'!B$15))/((1+$A9)^5)+'Scenario Analysis'!B$19/((1+$A9)^5)</f>
        <v>-25213.8702695501</v>
      </c>
      <c r="E9" s="5" t="n">
        <f aca="false">-'Scenario Analysis'!B$11+('Scenario Analysis'!B$12*(1+E$7)^1*(1-'Scenario Analysis'!B$14)*(1-'Scenario Analysis'!B$15))/((1+$A9)^1)+('Scenario Analysis'!B$12*(1+E$7)^2*(1-'Scenario Analysis'!B$14)*(1-'Scenario Analysis'!B$15))/((1+$A9)^2)+('Scenario Analysis'!B$12*(1+E$7)^3*(1-'Scenario Analysis'!B$14)*(1-'Scenario Analysis'!B$15))/((1+$A9)^3)+('Scenario Analysis'!B$12*(1+E$7)^4*(1-'Scenario Analysis'!B$14)*(1-'Scenario Analysis'!B$15))/((1+$A9)^4)+('Scenario Analysis'!B$12*(1+E$7)^5*(1-'Scenario Analysis'!B$14)*(1-'Scenario Analysis'!B$15))/((1+$A9)^5)+'Scenario Analysis'!B$19/((1+$A9)^5)</f>
        <v>260.094829172427</v>
      </c>
      <c r="F9" s="5" t="n">
        <f aca="false">-'Scenario Analysis'!B$11+('Scenario Analysis'!B$12*(1+F$7)^1*(1-'Scenario Analysis'!B$14)*(1-'Scenario Analysis'!B$15))/((1+$A9)^1)+('Scenario Analysis'!B$12*(1+F$7)^2*(1-'Scenario Analysis'!B$14)*(1-'Scenario Analysis'!B$15))/((1+$A9)^2)+('Scenario Analysis'!B$12*(1+F$7)^3*(1-'Scenario Analysis'!B$14)*(1-'Scenario Analysis'!B$15))/((1+$A9)^3)+('Scenario Analysis'!B$12*(1+F$7)^4*(1-'Scenario Analysis'!B$14)*(1-'Scenario Analysis'!B$15))/((1+$A9)^4)+('Scenario Analysis'!B$12*(1+F$7)^5*(1-'Scenario Analysis'!B$14)*(1-'Scenario Analysis'!B$15))/((1+$A9)^5)+'Scenario Analysis'!B$19/((1+$A9)^5)</f>
        <v>40943.1396000243</v>
      </c>
    </row>
    <row r="10" customFormat="false" ht="15" hidden="false" customHeight="false" outlineLevel="0" collapsed="false">
      <c r="A10" s="22" t="n">
        <v>0.08</v>
      </c>
      <c r="B10" s="5" t="n">
        <f aca="false">-'Scenario Analysis'!B$11+('Scenario Analysis'!B$12*(1+B$7)^1*(1-'Scenario Analysis'!B$14)*(1-'Scenario Analysis'!B$15))/((1+$A10)^1)+('Scenario Analysis'!B$12*(1+B$7)^2*(1-'Scenario Analysis'!B$14)*(1-'Scenario Analysis'!B$15))/((1+$A10)^2)+('Scenario Analysis'!B$12*(1+B$7)^3*(1-'Scenario Analysis'!B$14)*(1-'Scenario Analysis'!B$15))/((1+$A10)^3)+('Scenario Analysis'!B$12*(1+B$7)^4*(1-'Scenario Analysis'!B$14)*(1-'Scenario Analysis'!B$15))/((1+$A10)^4)+('Scenario Analysis'!B$12*(1+B$7)^5*(1-'Scenario Analysis'!B$14)*(1-'Scenario Analysis'!B$15))/((1+$A10)^5)+'Scenario Analysis'!B$19/((1+$A10)^5)</f>
        <v>-106626.936811285</v>
      </c>
      <c r="C10" s="5" t="n">
        <f aca="false">-'Scenario Analysis'!B$11+('Scenario Analysis'!B$12*(1+C$7)^1*(1-'Scenario Analysis'!B$14)*(1-'Scenario Analysis'!B$15))/((1+$A10)^1)+('Scenario Analysis'!B$12*(1+C$7)^2*(1-'Scenario Analysis'!B$14)*(1-'Scenario Analysis'!B$15))/((1+$A10)^2)+('Scenario Analysis'!B$12*(1+C$7)^3*(1-'Scenario Analysis'!B$14)*(1-'Scenario Analysis'!B$15))/((1+$A10)^3)+('Scenario Analysis'!B$12*(1+C$7)^4*(1-'Scenario Analysis'!B$14)*(1-'Scenario Analysis'!B$15))/((1+$A10)^4)+('Scenario Analysis'!B$12*(1+C$7)^5*(1-'Scenario Analysis'!B$14)*(1-'Scenario Analysis'!B$15))/((1+$A10)^5)+'Scenario Analysis'!B$19/((1+$A10)^5)</f>
        <v>-74744.3130632758</v>
      </c>
      <c r="D10" s="5" t="n">
        <f aca="false">-'Scenario Analysis'!B$11+('Scenario Analysis'!B$12*(1+D$7)^1*(1-'Scenario Analysis'!B$14)*(1-'Scenario Analysis'!B$15))/((1+$A10)^1)+('Scenario Analysis'!B$12*(1+D$7)^2*(1-'Scenario Analysis'!B$14)*(1-'Scenario Analysis'!B$15))/((1+$A10)^2)+('Scenario Analysis'!B$12*(1+D$7)^3*(1-'Scenario Analysis'!B$14)*(1-'Scenario Analysis'!B$15))/((1+$A10)^3)+('Scenario Analysis'!B$12*(1+D$7)^4*(1-'Scenario Analysis'!B$14)*(1-'Scenario Analysis'!B$15))/((1+$A10)^4)+('Scenario Analysis'!B$12*(1+D$7)^5*(1-'Scenario Analysis'!B$14)*(1-'Scenario Analysis'!B$15))/((1+$A10)^5)+'Scenario Analysis'!B$19/((1+$A10)^5)</f>
        <v>-52110.5664309865</v>
      </c>
      <c r="E10" s="5" t="n">
        <f aca="false">-'Scenario Analysis'!B$11+('Scenario Analysis'!B$12*(1+E$7)^1*(1-'Scenario Analysis'!B$14)*(1-'Scenario Analysis'!B$15))/((1+$A10)^1)+('Scenario Analysis'!B$12*(1+E$7)^2*(1-'Scenario Analysis'!B$14)*(1-'Scenario Analysis'!B$15))/((1+$A10)^2)+('Scenario Analysis'!B$12*(1+E$7)^3*(1-'Scenario Analysis'!B$14)*(1-'Scenario Analysis'!B$15))/((1+$A10)^3)+('Scenario Analysis'!B$12*(1+E$7)^4*(1-'Scenario Analysis'!B$14)*(1-'Scenario Analysis'!B$15))/((1+$A10)^4)+('Scenario Analysis'!B$12*(1+E$7)^5*(1-'Scenario Analysis'!B$14)*(1-'Scenario Analysis'!B$15))/((1+$A10)^5)+'Scenario Analysis'!B$19/((1+$A10)^5)</f>
        <v>-28317.5868711475</v>
      </c>
      <c r="F10" s="5" t="n">
        <f aca="false">-'Scenario Analysis'!B$11+('Scenario Analysis'!B$12*(1+F$7)^1*(1-'Scenario Analysis'!B$14)*(1-'Scenario Analysis'!B$15))/((1+$A10)^1)+('Scenario Analysis'!B$12*(1+F$7)^2*(1-'Scenario Analysis'!B$14)*(1-'Scenario Analysis'!B$15))/((1+$A10)^2)+('Scenario Analysis'!B$12*(1+F$7)^3*(1-'Scenario Analysis'!B$14)*(1-'Scenario Analysis'!B$15))/((1+$A10)^3)+('Scenario Analysis'!B$12*(1+F$7)^4*(1-'Scenario Analysis'!B$14)*(1-'Scenario Analysis'!B$15))/((1+$A10)^4)+('Scenario Analysis'!B$12*(1+F$7)^5*(1-'Scenario Analysis'!B$14)*(1-'Scenario Analysis'!B$15))/((1+$A10)^5)+'Scenario Analysis'!B$19/((1+$A10)^5)</f>
        <v>9655.08089309514</v>
      </c>
    </row>
    <row r="11" customFormat="false" ht="15" hidden="false" customHeight="false" outlineLevel="0" collapsed="false">
      <c r="A11" s="22" t="n">
        <v>0.1</v>
      </c>
      <c r="B11" s="5" t="n">
        <f aca="false">-'Scenario Analysis'!B$11+('Scenario Analysis'!B$12*(1+B$7)^1*(1-'Scenario Analysis'!B$14)*(1-'Scenario Analysis'!B$15))/((1+$A11)^1)+('Scenario Analysis'!B$12*(1+B$7)^2*(1-'Scenario Analysis'!B$14)*(1-'Scenario Analysis'!B$15))/((1+$A11)^2)+('Scenario Analysis'!B$12*(1+B$7)^3*(1-'Scenario Analysis'!B$14)*(1-'Scenario Analysis'!B$15))/((1+$A11)^3)+('Scenario Analysis'!B$12*(1+B$7)^4*(1-'Scenario Analysis'!B$14)*(1-'Scenario Analysis'!B$15))/((1+$A11)^4)+('Scenario Analysis'!B$12*(1+B$7)^5*(1-'Scenario Analysis'!B$14)*(1-'Scenario Analysis'!B$15))/((1+$A11)^5)+'Scenario Analysis'!B$19/((1+$A11)^5)</f>
        <v>-127783.124600282</v>
      </c>
      <c r="C11" s="5" t="n">
        <f aca="false">-'Scenario Analysis'!B$11+('Scenario Analysis'!B$12*(1+C$7)^1*(1-'Scenario Analysis'!B$14)*(1-'Scenario Analysis'!B$15))/((1+$A11)^1)+('Scenario Analysis'!B$12*(1+C$7)^2*(1-'Scenario Analysis'!B$14)*(1-'Scenario Analysis'!B$15))/((1+$A11)^2)+('Scenario Analysis'!B$12*(1+C$7)^3*(1-'Scenario Analysis'!B$14)*(1-'Scenario Analysis'!B$15))/((1+$A11)^3)+('Scenario Analysis'!B$12*(1+C$7)^4*(1-'Scenario Analysis'!B$14)*(1-'Scenario Analysis'!B$15))/((1+$A11)^4)+('Scenario Analysis'!B$12*(1+C$7)^5*(1-'Scenario Analysis'!B$14)*(1-'Scenario Analysis'!B$15))/((1+$A11)^5)+'Scenario Analysis'!B$19/((1+$A11)^5)</f>
        <v>-97912.9032561115</v>
      </c>
      <c r="D11" s="5" t="n">
        <f aca="false">-'Scenario Analysis'!B$11+('Scenario Analysis'!B$12*(1+D$7)^1*(1-'Scenario Analysis'!B$14)*(1-'Scenario Analysis'!B$15))/((1+$A11)^1)+('Scenario Analysis'!B$12*(1+D$7)^2*(1-'Scenario Analysis'!B$14)*(1-'Scenario Analysis'!B$15))/((1+$A11)^2)+('Scenario Analysis'!B$12*(1+D$7)^3*(1-'Scenario Analysis'!B$14)*(1-'Scenario Analysis'!B$15))/((1+$A11)^3)+('Scenario Analysis'!B$12*(1+D$7)^4*(1-'Scenario Analysis'!B$14)*(1-'Scenario Analysis'!B$15))/((1+$A11)^4)+('Scenario Analysis'!B$12*(1+D$7)^5*(1-'Scenario Analysis'!B$14)*(1-'Scenario Analysis'!B$15))/((1+$A11)^5)+'Scenario Analysis'!B$19/((1+$A11)^5)</f>
        <v>-76723.0586118684</v>
      </c>
      <c r="E11" s="5" t="n">
        <f aca="false">-'Scenario Analysis'!B$11+('Scenario Analysis'!B$12*(1+E$7)^1*(1-'Scenario Analysis'!B$14)*(1-'Scenario Analysis'!B$15))/((1+$A11)^1)+('Scenario Analysis'!B$12*(1+E$7)^2*(1-'Scenario Analysis'!B$14)*(1-'Scenario Analysis'!B$15))/((1+$A11)^2)+('Scenario Analysis'!B$12*(1+E$7)^3*(1-'Scenario Analysis'!B$14)*(1-'Scenario Analysis'!B$15))/((1+$A11)^3)+('Scenario Analysis'!B$12*(1+E$7)^4*(1-'Scenario Analysis'!B$14)*(1-'Scenario Analysis'!B$15))/((1+$A11)^4)+('Scenario Analysis'!B$12*(1+E$7)^5*(1-'Scenario Analysis'!B$14)*(1-'Scenario Analysis'!B$15))/((1+$A11)^5)+'Scenario Analysis'!B$19/((1+$A11)^5)</f>
        <v>-54460.36072238</v>
      </c>
      <c r="F11" s="5" t="n">
        <f aca="false">-'Scenario Analysis'!B$11+('Scenario Analysis'!B$12*(1+F$7)^1*(1-'Scenario Analysis'!B$14)*(1-'Scenario Analysis'!B$15))/((1+$A11)^1)+('Scenario Analysis'!B$12*(1+F$7)^2*(1-'Scenario Analysis'!B$14)*(1-'Scenario Analysis'!B$15))/((1+$A11)^2)+('Scenario Analysis'!B$12*(1+F$7)^3*(1-'Scenario Analysis'!B$14)*(1-'Scenario Analysis'!B$15))/((1+$A11)^3)+('Scenario Analysis'!B$12*(1+F$7)^4*(1-'Scenario Analysis'!B$14)*(1-'Scenario Analysis'!B$15))/((1+$A11)^4)+('Scenario Analysis'!B$12*(1+F$7)^5*(1-'Scenario Analysis'!B$14)*(1-'Scenario Analysis'!B$15))/((1+$A11)^5)+'Scenario Analysis'!B$19/((1+$A11)^5)</f>
        <v>-18953.9338470423</v>
      </c>
    </row>
    <row r="12" customFormat="false" ht="15" hidden="false" customHeight="false" outlineLevel="0" collapsed="false">
      <c r="A12" s="22" t="n">
        <v>0.12</v>
      </c>
      <c r="B12" s="5" t="n">
        <f aca="false">-'Scenario Analysis'!B$11+('Scenario Analysis'!B$12*(1+B$7)^1*(1-'Scenario Analysis'!B$14)*(1-'Scenario Analysis'!B$15))/((1+$A12)^1)+('Scenario Analysis'!B$12*(1+B$7)^2*(1-'Scenario Analysis'!B$14)*(1-'Scenario Analysis'!B$15))/((1+$A12)^2)+('Scenario Analysis'!B$12*(1+B$7)^3*(1-'Scenario Analysis'!B$14)*(1-'Scenario Analysis'!B$15))/((1+$A12)^3)+('Scenario Analysis'!B$12*(1+B$7)^4*(1-'Scenario Analysis'!B$14)*(1-'Scenario Analysis'!B$15))/((1+$A12)^4)+('Scenario Analysis'!B$12*(1+B$7)^5*(1-'Scenario Analysis'!B$14)*(1-'Scenario Analysis'!B$15))/((1+$A12)^5)+'Scenario Analysis'!B$19/((1+$A12)^5)</f>
        <v>-147198.79900302</v>
      </c>
      <c r="C12" s="5" t="n">
        <f aca="false">-'Scenario Analysis'!B$11+('Scenario Analysis'!B$12*(1+C$7)^1*(1-'Scenario Analysis'!B$14)*(1-'Scenario Analysis'!B$15))/((1+$A12)^1)+('Scenario Analysis'!B$12*(1+C$7)^2*(1-'Scenario Analysis'!B$14)*(1-'Scenario Analysis'!B$15))/((1+$A12)^2)+('Scenario Analysis'!B$12*(1+C$7)^3*(1-'Scenario Analysis'!B$14)*(1-'Scenario Analysis'!B$15))/((1+$A12)^3)+('Scenario Analysis'!B$12*(1+C$7)^4*(1-'Scenario Analysis'!B$14)*(1-'Scenario Analysis'!B$15))/((1+$A12)^4)+('Scenario Analysis'!B$12*(1+C$7)^5*(1-'Scenario Analysis'!B$14)*(1-'Scenario Analysis'!B$15))/((1+$A12)^5)+'Scenario Analysis'!B$19/((1+$A12)^5)</f>
        <v>-119165.997397093</v>
      </c>
      <c r="D12" s="5" t="n">
        <f aca="false">-'Scenario Analysis'!B$11+('Scenario Analysis'!B$12*(1+D$7)^1*(1-'Scenario Analysis'!B$14)*(1-'Scenario Analysis'!B$15))/((1+$A12)^1)+('Scenario Analysis'!B$12*(1+D$7)^2*(1-'Scenario Analysis'!B$14)*(1-'Scenario Analysis'!B$15))/((1+$A12)^2)+('Scenario Analysis'!B$12*(1+D$7)^3*(1-'Scenario Analysis'!B$14)*(1-'Scenario Analysis'!B$15))/((1+$A12)^3)+('Scenario Analysis'!B$12*(1+D$7)^4*(1-'Scenario Analysis'!B$14)*(1-'Scenario Analysis'!B$15))/((1+$A12)^4)+('Scenario Analysis'!B$12*(1+D$7)^5*(1-'Scenario Analysis'!B$14)*(1-'Scenario Analysis'!B$15))/((1+$A12)^5)+'Scenario Analysis'!B$19/((1+$A12)^5)</f>
        <v>-99293.8431424148</v>
      </c>
      <c r="E12" s="5" t="n">
        <f aca="false">-'Scenario Analysis'!B$11+('Scenario Analysis'!B$12*(1+E$7)^1*(1-'Scenario Analysis'!B$14)*(1-'Scenario Analysis'!B$15))/((1+$A12)^1)+('Scenario Analysis'!B$12*(1+E$7)^2*(1-'Scenario Analysis'!B$14)*(1-'Scenario Analysis'!B$15))/((1+$A12)^2)+('Scenario Analysis'!B$12*(1+E$7)^3*(1-'Scenario Analysis'!B$14)*(1-'Scenario Analysis'!B$15))/((1+$A12)^3)+('Scenario Analysis'!B$12*(1+E$7)^4*(1-'Scenario Analysis'!B$14)*(1-'Scenario Analysis'!B$15))/((1+$A12)^4)+('Scenario Analysis'!B$12*(1+E$7)^5*(1-'Scenario Analysis'!B$14)*(1-'Scenario Analysis'!B$15))/((1+$A12)^5)+'Scenario Analysis'!B$19/((1+$A12)^5)</f>
        <v>-78427.1259101319</v>
      </c>
      <c r="F12" s="5" t="n">
        <f aca="false">-'Scenario Analysis'!B$11+('Scenario Analysis'!B$12*(1+F$7)^1*(1-'Scenario Analysis'!B$14)*(1-'Scenario Analysis'!B$15))/((1+$A12)^1)+('Scenario Analysis'!B$12*(1+F$7)^2*(1-'Scenario Analysis'!B$14)*(1-'Scenario Analysis'!B$15))/((1+$A12)^2)+('Scenario Analysis'!B$12*(1+F$7)^3*(1-'Scenario Analysis'!B$14)*(1-'Scenario Analysis'!B$15))/((1+$A12)^3)+('Scenario Analysis'!B$12*(1+F$7)^4*(1-'Scenario Analysis'!B$14)*(1-'Scenario Analysis'!B$15))/((1+$A12)^4)+('Scenario Analysis'!B$12*(1+F$7)^5*(1-'Scenario Analysis'!B$14)*(1-'Scenario Analysis'!B$15))/((1+$A12)^5)+'Scenario Analysis'!B$19/((1+$A12)^5)</f>
        <v>-45169.4529607095</v>
      </c>
    </row>
    <row r="13" customFormat="false" ht="15" hidden="false" customHeight="false" outlineLevel="0" collapsed="false">
      <c r="A13" s="22" t="n">
        <v>0.14</v>
      </c>
      <c r="B13" s="5" t="n">
        <f aca="false">-'Scenario Analysis'!B$11+('Scenario Analysis'!B$12*(1+B$7)^1*(1-'Scenario Analysis'!B$14)*(1-'Scenario Analysis'!B$15))/((1+$A13)^1)+('Scenario Analysis'!B$12*(1+B$7)^2*(1-'Scenario Analysis'!B$14)*(1-'Scenario Analysis'!B$15))/((1+$A13)^2)+('Scenario Analysis'!B$12*(1+B$7)^3*(1-'Scenario Analysis'!B$14)*(1-'Scenario Analysis'!B$15))/((1+$A13)^3)+('Scenario Analysis'!B$12*(1+B$7)^4*(1-'Scenario Analysis'!B$14)*(1-'Scenario Analysis'!B$15))/((1+$A13)^4)+('Scenario Analysis'!B$12*(1+B$7)^5*(1-'Scenario Analysis'!B$14)*(1-'Scenario Analysis'!B$15))/((1+$A13)^5)+'Scenario Analysis'!B$19/((1+$A13)^5)</f>
        <v>-165054.279584748</v>
      </c>
      <c r="C13" s="5" t="n">
        <f aca="false">-'Scenario Analysis'!B$11+('Scenario Analysis'!B$12*(1+C$7)^1*(1-'Scenario Analysis'!B$14)*(1-'Scenario Analysis'!B$15))/((1+$A13)^1)+('Scenario Analysis'!B$12*(1+C$7)^2*(1-'Scenario Analysis'!B$14)*(1-'Scenario Analysis'!B$15))/((1+$A13)^2)+('Scenario Analysis'!B$12*(1+C$7)^3*(1-'Scenario Analysis'!B$14)*(1-'Scenario Analysis'!B$15))/((1+$A13)^3)+('Scenario Analysis'!B$12*(1+C$7)^4*(1-'Scenario Analysis'!B$14)*(1-'Scenario Analysis'!B$15))/((1+$A13)^4)+('Scenario Analysis'!B$12*(1+C$7)^5*(1-'Scenario Analysis'!B$14)*(1-'Scenario Analysis'!B$15))/((1+$A13)^5)+'Scenario Analysis'!B$19/((1+$A13)^5)</f>
        <v>-138702.486583494</v>
      </c>
      <c r="D13" s="5" t="n">
        <f aca="false">-'Scenario Analysis'!B$11+('Scenario Analysis'!B$12*(1+D$7)^1*(1-'Scenario Analysis'!B$14)*(1-'Scenario Analysis'!B$15))/((1+$A13)^1)+('Scenario Analysis'!B$12*(1+D$7)^2*(1-'Scenario Analysis'!B$14)*(1-'Scenario Analysis'!B$15))/((1+$A13)^2)+('Scenario Analysis'!B$12*(1+D$7)^3*(1-'Scenario Analysis'!B$14)*(1-'Scenario Analysis'!B$15))/((1+$A13)^3)+('Scenario Analysis'!B$12*(1+D$7)^4*(1-'Scenario Analysis'!B$14)*(1-'Scenario Analysis'!B$15))/((1+$A13)^4)+('Scenario Analysis'!B$12*(1+D$7)^5*(1-'Scenario Analysis'!B$14)*(1-'Scenario Analysis'!B$15))/((1+$A13)^5)+'Scenario Analysis'!B$19/((1+$A13)^5)</f>
        <v>-120035.249767827</v>
      </c>
      <c r="E13" s="5" t="n">
        <f aca="false">-'Scenario Analysis'!B$11+('Scenario Analysis'!B$12*(1+E$7)^1*(1-'Scenario Analysis'!B$14)*(1-'Scenario Analysis'!B$15))/((1+$A13)^1)+('Scenario Analysis'!B$12*(1+E$7)^2*(1-'Scenario Analysis'!B$14)*(1-'Scenario Analysis'!B$15))/((1+$A13)^2)+('Scenario Analysis'!B$12*(1+E$7)^3*(1-'Scenario Analysis'!B$14)*(1-'Scenario Analysis'!B$15))/((1+$A13)^3)+('Scenario Analysis'!B$12*(1+E$7)^4*(1-'Scenario Analysis'!B$14)*(1-'Scenario Analysis'!B$15))/((1+$A13)^4)+('Scenario Analysis'!B$12*(1+E$7)^5*(1-'Scenario Analysis'!B$14)*(1-'Scenario Analysis'!B$15))/((1+$A13)^5)+'Scenario Analysis'!B$19/((1+$A13)^5)</f>
        <v>-100444.547587218</v>
      </c>
      <c r="F13" s="5" t="n">
        <f aca="false">-'Scenario Analysis'!B$11+('Scenario Analysis'!B$12*(1+F$7)^1*(1-'Scenario Analysis'!B$14)*(1-'Scenario Analysis'!B$15))/((1+$A13)^1)+('Scenario Analysis'!B$12*(1+F$7)^2*(1-'Scenario Analysis'!B$14)*(1-'Scenario Analysis'!B$15))/((1+$A13)^2)+('Scenario Analysis'!B$12*(1+F$7)^3*(1-'Scenario Analysis'!B$14)*(1-'Scenario Analysis'!B$15))/((1+$A13)^3)+('Scenario Analysis'!B$12*(1+F$7)^4*(1-'Scenario Analysis'!B$14)*(1-'Scenario Analysis'!B$15))/((1+$A13)^4)+('Scenario Analysis'!B$12*(1+F$7)^5*(1-'Scenario Analysis'!B$14)*(1-'Scenario Analysis'!B$15))/((1+$A13)^5)+'Scenario Analysis'!B$19/((1+$A13)^5)</f>
        <v>-69241.4251863725</v>
      </c>
    </row>
    <row r="15" customFormat="false" ht="15" hidden="false" customHeight="false" outlineLevel="0" collapsed="false">
      <c r="A15" s="23" t="s">
        <v>61</v>
      </c>
    </row>
    <row r="16" customFormat="false" ht="15" hidden="false" customHeight="false" outlineLevel="0" collapsed="false">
      <c r="A16" s="23" t="s">
        <v>62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</cols>
  <sheetData>
    <row r="1" customFormat="false" ht="17.35" hidden="false" customHeight="false" outlineLevel="0" collapsed="false">
      <c r="A1" s="1" t="s">
        <v>63</v>
      </c>
      <c r="B1" s="1"/>
      <c r="C1" s="1"/>
      <c r="D1" s="1"/>
    </row>
    <row r="3" customFormat="false" ht="15" hidden="false" customHeight="false" outlineLevel="0" collapsed="false">
      <c r="A3" s="3" t="s">
        <v>64</v>
      </c>
    </row>
    <row r="5" customFormat="false" ht="15" hidden="false" customHeight="false" outlineLevel="0" collapsed="false">
      <c r="A5" s="0" t="s">
        <v>65</v>
      </c>
      <c r="B5" s="24" t="str">
        <f aca="false">'Scenario Analysis'!B22</f>
        <v>Base Case</v>
      </c>
    </row>
    <row r="7" customFormat="false" ht="15" hidden="false" customHeight="false" outlineLevel="0" collapsed="false">
      <c r="A7" s="0" t="s">
        <v>66</v>
      </c>
      <c r="B7" s="5" t="n">
        <f aca="false">'Scenario Analysis'!B41</f>
        <v>-99055.4680660164</v>
      </c>
    </row>
    <row r="8" customFormat="false" ht="15" hidden="false" customHeight="false" outlineLevel="0" collapsed="false">
      <c r="A8" s="0" t="s">
        <v>67</v>
      </c>
      <c r="B8" s="8" t="n">
        <f aca="false">'Scenario Analysis'!B42</f>
        <v>0.0272182142888625</v>
      </c>
    </row>
    <row r="9" customFormat="false" ht="15" hidden="false" customHeight="false" outlineLevel="0" collapsed="false">
      <c r="A9" s="0" t="s">
        <v>68</v>
      </c>
      <c r="B9" s="9" t="n">
        <f aca="false">'Scenario Analysis'!B43</f>
        <v>0.801889063867967</v>
      </c>
    </row>
    <row r="11" customFormat="false" ht="15" hidden="false" customHeight="false" outlineLevel="0" collapsed="false">
      <c r="A11" s="3" t="s">
        <v>69</v>
      </c>
    </row>
    <row r="13" customFormat="false" ht="15" hidden="false" customHeight="false" outlineLevel="0" collapsed="false">
      <c r="A13" s="0" t="s">
        <v>70</v>
      </c>
      <c r="B13" s="13" t="str">
        <f aca="false">IF(B7&gt;0,"YES - Accept","NO - Reject")</f>
        <v>NO - Reject</v>
      </c>
    </row>
    <row r="14" customFormat="false" ht="15" hidden="false" customHeight="false" outlineLevel="0" collapsed="false">
      <c r="A14" s="0" t="s">
        <v>71</v>
      </c>
      <c r="B14" s="13" t="str">
        <f aca="false">IF(B8&gt;'Scenario Analysis'!B16,"YES - Accept","NO - Reject")</f>
        <v>NO - Reject</v>
      </c>
    </row>
    <row r="15" customFormat="false" ht="15" hidden="false" customHeight="false" outlineLevel="0" collapsed="false">
      <c r="A15" s="0" t="s">
        <v>72</v>
      </c>
      <c r="B15" s="13" t="str">
        <f aca="false">IF(B9&gt;1,"YES - Accept","NO - Reject")</f>
        <v>NO - Reject</v>
      </c>
    </row>
    <row r="17" customFormat="false" ht="15" hidden="false" customHeight="false" outlineLevel="0" collapsed="false">
      <c r="A17" s="3" t="s">
        <v>73</v>
      </c>
    </row>
    <row r="19" customFormat="false" ht="17.35" hidden="false" customHeight="false" outlineLevel="0" collapsed="false">
      <c r="A19" s="25" t="str">
        <f aca="false">IF(AND(B7&gt;0,B8&gt;'Scenario Analysis'!B16,B9&gt;1),"RECOMMEND ACCEPTING PROJECT","RECOMMEND REJECTING PROJECT")</f>
        <v>RECOMMEND REJECTING PROJECT</v>
      </c>
      <c r="B19" s="25"/>
      <c r="C19" s="25"/>
      <c r="D19" s="25"/>
    </row>
  </sheetData>
  <mergeCells count="2">
    <mergeCell ref="A1:D1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2025-10-26T17:08:54Z</dcterms:created>
  <dc:creator>openpyxl</dc:creator>
  <dc:description/>
  <dc:language>en-US</dc:language>
  <cp:lastModifiedBy/>
  <dcterms:modified xsi:type="dcterms:W3CDTF">2025-10-26T17:08:54Z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